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50"/>
  </bookViews>
  <sheets>
    <sheet name="Competitiors" sheetId="44" r:id="rId1"/>
    <sheet name="Results" sheetId="16" r:id="rId2"/>
    <sheet name="U10 U12" sheetId="23" r:id="rId3"/>
    <sheet name="U10 12 scores" sheetId="27" r:id="rId4"/>
    <sheet name="Novice" sheetId="52" r:id="rId5"/>
    <sheet name="Novice Scores" sheetId="53" r:id="rId6"/>
    <sheet name="Sheet3" sheetId="3" state="hidden" r:id="rId7"/>
    <sheet name="13 - 15" sheetId="80" r:id="rId8"/>
    <sheet name="13 -15 Scores" sheetId="81" r:id="rId9"/>
    <sheet name="16 - 18" sheetId="82" r:id="rId10"/>
    <sheet name="16 - 18 Scores" sheetId="83" r:id="rId11"/>
    <sheet name="U10 U12 Solos" sheetId="86" r:id="rId12"/>
    <sheet name="U10 U12 Solo Scores" sheetId="87" r:id="rId13"/>
    <sheet name="13-18 Solos" sheetId="88" r:id="rId14"/>
    <sheet name="13-18 Solo Scores" sheetId="89" r:id="rId15"/>
    <sheet name="Duets" sheetId="37" r:id="rId16"/>
    <sheet name="Duet Scores" sheetId="38" r:id="rId17"/>
    <sheet name="Trio" sheetId="90" r:id="rId18"/>
    <sheet name="Trio Scores" sheetId="91" r:id="rId19"/>
    <sheet name="Sheet1" sheetId="32" r:id="rId20"/>
  </sheets>
  <definedNames>
    <definedName name="_xlnm._FilterDatabase" localSheetId="1" hidden="1">Results!$A$4:$I$6</definedName>
    <definedName name="_xlnm.Print_Area" localSheetId="7">'13 - 15'!$C$1:$J$21</definedName>
    <definedName name="_xlnm.Print_Area" localSheetId="8">'13 -15 Scores'!$A$3:$K$48</definedName>
    <definedName name="_xlnm.Print_Area" localSheetId="14">'13-18 Solo Scores'!$A$1:$J$37</definedName>
    <definedName name="_xlnm.Print_Area" localSheetId="13">'13-18 Solos'!$B$8:$F$22</definedName>
    <definedName name="_xlnm.Print_Area" localSheetId="9">'16 - 18'!$D$8:$K$15</definedName>
    <definedName name="_xlnm.Print_Area" localSheetId="10">'16 - 18 Scores'!$A$1:$C$48</definedName>
    <definedName name="_xlnm.Print_Area" localSheetId="16">'Duet Scores'!$A$1:$G$37</definedName>
    <definedName name="_xlnm.Print_Area" localSheetId="15">Duets!$B$7:$J$21</definedName>
    <definedName name="_xlnm.Print_Area" localSheetId="4">Novice!$D$10:$H$37</definedName>
    <definedName name="_xlnm.Print_Area" localSheetId="5">'Novice Scores'!$A$1:$J$48</definedName>
    <definedName name="_xlnm.Print_Area" localSheetId="1">Results!$M$57:$S$65</definedName>
    <definedName name="_xlnm.Print_Area" localSheetId="17">Trio!$B$7:$H$24</definedName>
    <definedName name="_xlnm.Print_Area" localSheetId="18">'Trio Scores'!$A$1:$F$37</definedName>
    <definedName name="_xlnm.Print_Area" localSheetId="3">'U10 12 scores'!$A$1:$K$48</definedName>
    <definedName name="_xlnm.Print_Area" localSheetId="2">'U10 U12'!$D$10:$J$31</definedName>
    <definedName name="_xlnm.Print_Area" localSheetId="12">'U10 U12 Solo Scores'!$A$1:$K$37</definedName>
    <definedName name="_xlnm.Print_Area" localSheetId="11">'U10 U12 Solos'!$B$1:$G$23</definedName>
    <definedName name="_xlnm.Print_Area">#REF!</definedName>
    <definedName name="_xlnm.Print_Titles" localSheetId="3">'U10 12 scores'!$A:$A,'U10 12 scores'!$1:$1</definedName>
  </definedNames>
  <calcPr calcId="162913"/>
</workbook>
</file>

<file path=xl/calcChain.xml><?xml version="1.0" encoding="utf-8"?>
<calcChain xmlns="http://schemas.openxmlformats.org/spreadsheetml/2006/main">
  <c r="S67" i="16" l="1"/>
  <c r="Q67" i="16"/>
  <c r="R67" i="16"/>
  <c r="F15" i="16" l="1"/>
  <c r="G15" i="16"/>
  <c r="H15" i="16"/>
  <c r="I15" i="16"/>
  <c r="J15" i="16"/>
  <c r="K15" i="16"/>
  <c r="F30" i="91" l="1"/>
  <c r="E30" i="91"/>
  <c r="E31" i="91" s="1"/>
  <c r="D30" i="91"/>
  <c r="D32" i="91" s="1"/>
  <c r="C30" i="91"/>
  <c r="C32" i="91" s="1"/>
  <c r="B30" i="91"/>
  <c r="F19" i="91"/>
  <c r="F21" i="91" s="1"/>
  <c r="E19" i="91"/>
  <c r="E20" i="91" s="1"/>
  <c r="D19" i="91"/>
  <c r="D20" i="91" s="1"/>
  <c r="C19" i="91"/>
  <c r="C20" i="91" s="1"/>
  <c r="B19" i="91"/>
  <c r="F8" i="91"/>
  <c r="F9" i="91" s="1"/>
  <c r="E8" i="91"/>
  <c r="E9" i="91" s="1"/>
  <c r="D8" i="91"/>
  <c r="D10" i="91" s="1"/>
  <c r="C8" i="91"/>
  <c r="C10" i="91" s="1"/>
  <c r="B8" i="91"/>
  <c r="B9" i="91" s="1"/>
  <c r="G30" i="38"/>
  <c r="F30" i="38"/>
  <c r="E30" i="38"/>
  <c r="D30" i="38"/>
  <c r="C30" i="38"/>
  <c r="B30" i="38"/>
  <c r="G19" i="38"/>
  <c r="F19" i="38"/>
  <c r="E19" i="38"/>
  <c r="D19" i="38"/>
  <c r="C19" i="38"/>
  <c r="B19" i="38"/>
  <c r="C8" i="38"/>
  <c r="D8" i="38"/>
  <c r="E8" i="38"/>
  <c r="F8" i="38"/>
  <c r="G8" i="38"/>
  <c r="B8" i="38"/>
  <c r="J30" i="89"/>
  <c r="J32" i="89" s="1"/>
  <c r="I30" i="89"/>
  <c r="I31" i="89" s="1"/>
  <c r="H30" i="89"/>
  <c r="H31" i="89" s="1"/>
  <c r="G30" i="89"/>
  <c r="G31" i="89" s="1"/>
  <c r="F30" i="89"/>
  <c r="F31" i="89" s="1"/>
  <c r="E30" i="89"/>
  <c r="E31" i="89" s="1"/>
  <c r="D30" i="89"/>
  <c r="D31" i="89" s="1"/>
  <c r="C30" i="89"/>
  <c r="C31" i="89" s="1"/>
  <c r="B30" i="89"/>
  <c r="B32" i="89" s="1"/>
  <c r="J19" i="89"/>
  <c r="J20" i="89" s="1"/>
  <c r="I19" i="89"/>
  <c r="I20" i="89" s="1"/>
  <c r="H19" i="89"/>
  <c r="H20" i="89" s="1"/>
  <c r="G19" i="89"/>
  <c r="G21" i="89" s="1"/>
  <c r="F19" i="89"/>
  <c r="F20" i="89" s="1"/>
  <c r="E19" i="89"/>
  <c r="E20" i="89" s="1"/>
  <c r="D19" i="89"/>
  <c r="D20" i="89" s="1"/>
  <c r="C19" i="89"/>
  <c r="C21" i="89" s="1"/>
  <c r="B19" i="89"/>
  <c r="C8" i="89"/>
  <c r="C9" i="89" s="1"/>
  <c r="D8" i="89"/>
  <c r="D9" i="89" s="1"/>
  <c r="E8" i="89"/>
  <c r="E9" i="89" s="1"/>
  <c r="F8" i="89"/>
  <c r="F9" i="89" s="1"/>
  <c r="G8" i="89"/>
  <c r="G9" i="89" s="1"/>
  <c r="H8" i="89"/>
  <c r="H9" i="89" s="1"/>
  <c r="I8" i="89"/>
  <c r="I9" i="89" s="1"/>
  <c r="J8" i="89"/>
  <c r="J9" i="89" s="1"/>
  <c r="B8" i="89"/>
  <c r="B10" i="89" s="1"/>
  <c r="K30" i="87"/>
  <c r="J30" i="87"/>
  <c r="I30" i="87"/>
  <c r="H30" i="87"/>
  <c r="G30" i="87"/>
  <c r="F30" i="87"/>
  <c r="E30" i="87"/>
  <c r="D30" i="87"/>
  <c r="C30" i="87"/>
  <c r="B30" i="87"/>
  <c r="K19" i="87"/>
  <c r="J19" i="87"/>
  <c r="I19" i="87"/>
  <c r="H19" i="87"/>
  <c r="G19" i="87"/>
  <c r="F19" i="87"/>
  <c r="E19" i="87"/>
  <c r="D19" i="87"/>
  <c r="C19" i="87"/>
  <c r="B19" i="87"/>
  <c r="C8" i="87"/>
  <c r="D8" i="87"/>
  <c r="E8" i="87"/>
  <c r="F8" i="87"/>
  <c r="G8" i="87"/>
  <c r="H8" i="87"/>
  <c r="I8" i="87"/>
  <c r="J8" i="87"/>
  <c r="K8" i="87"/>
  <c r="B8" i="87"/>
  <c r="B30" i="53"/>
  <c r="B41" i="83"/>
  <c r="B30" i="83"/>
  <c r="B32" i="83" s="1"/>
  <c r="B19" i="83"/>
  <c r="B20" i="83" s="1"/>
  <c r="B8" i="83"/>
  <c r="C19" i="81"/>
  <c r="C20" i="81" s="1"/>
  <c r="D19" i="81"/>
  <c r="D20" i="81" s="1"/>
  <c r="E19" i="81"/>
  <c r="E20" i="81" s="1"/>
  <c r="F19" i="81"/>
  <c r="F21" i="81" s="1"/>
  <c r="G19" i="81"/>
  <c r="G21" i="81" s="1"/>
  <c r="H19" i="81"/>
  <c r="H21" i="81" s="1"/>
  <c r="I19" i="81"/>
  <c r="I20" i="81" s="1"/>
  <c r="J19" i="81"/>
  <c r="J21" i="81" s="1"/>
  <c r="K19" i="81"/>
  <c r="K20" i="81" s="1"/>
  <c r="L19" i="81"/>
  <c r="L20" i="81" s="1"/>
  <c r="K21" i="81"/>
  <c r="C8" i="81"/>
  <c r="C9" i="81" s="1"/>
  <c r="D8" i="81"/>
  <c r="D9" i="81" s="1"/>
  <c r="E8" i="81"/>
  <c r="E9" i="81" s="1"/>
  <c r="F8" i="81"/>
  <c r="F10" i="81" s="1"/>
  <c r="G8" i="81"/>
  <c r="G10" i="81" s="1"/>
  <c r="H8" i="81"/>
  <c r="H9" i="81" s="1"/>
  <c r="I8" i="81"/>
  <c r="I9" i="81" s="1"/>
  <c r="J8" i="81"/>
  <c r="J10" i="81" s="1"/>
  <c r="K8" i="81"/>
  <c r="K9" i="81" s="1"/>
  <c r="L8" i="81"/>
  <c r="L9" i="81" s="1"/>
  <c r="L41" i="81"/>
  <c r="L42" i="81" s="1"/>
  <c r="K41" i="81"/>
  <c r="K42" i="81" s="1"/>
  <c r="J41" i="81"/>
  <c r="J42" i="81" s="1"/>
  <c r="I41" i="81"/>
  <c r="I43" i="81" s="1"/>
  <c r="H41" i="81"/>
  <c r="H42" i="81" s="1"/>
  <c r="G41" i="81"/>
  <c r="G42" i="81" s="1"/>
  <c r="F41" i="81"/>
  <c r="F43" i="81" s="1"/>
  <c r="E41" i="81"/>
  <c r="E43" i="81" s="1"/>
  <c r="D41" i="81"/>
  <c r="D42" i="81" s="1"/>
  <c r="C41" i="81"/>
  <c r="C42" i="81" s="1"/>
  <c r="B41" i="81"/>
  <c r="B42" i="81" s="1"/>
  <c r="L30" i="81"/>
  <c r="L32" i="81" s="1"/>
  <c r="K30" i="81"/>
  <c r="K31" i="81" s="1"/>
  <c r="J30" i="81"/>
  <c r="J31" i="81" s="1"/>
  <c r="I30" i="81"/>
  <c r="I31" i="81" s="1"/>
  <c r="H30" i="81"/>
  <c r="H32" i="81" s="1"/>
  <c r="G30" i="81"/>
  <c r="G32" i="81" s="1"/>
  <c r="F30" i="81"/>
  <c r="F31" i="81" s="1"/>
  <c r="E30" i="81"/>
  <c r="E31" i="81" s="1"/>
  <c r="D30" i="81"/>
  <c r="D32" i="81" s="1"/>
  <c r="C30" i="81"/>
  <c r="C31" i="81" s="1"/>
  <c r="B30" i="81"/>
  <c r="B32" i="81" s="1"/>
  <c r="B19" i="81"/>
  <c r="B20" i="81" s="1"/>
  <c r="B8" i="81"/>
  <c r="B10" i="81" s="1"/>
  <c r="K41" i="27"/>
  <c r="J41" i="27"/>
  <c r="I41" i="27"/>
  <c r="H41" i="27"/>
  <c r="G41" i="27"/>
  <c r="F41" i="27"/>
  <c r="E41" i="27"/>
  <c r="D41" i="27"/>
  <c r="C41" i="27"/>
  <c r="B41" i="27"/>
  <c r="K30" i="27"/>
  <c r="J30" i="27"/>
  <c r="I30" i="27"/>
  <c r="H30" i="27"/>
  <c r="G30" i="27"/>
  <c r="F30" i="27"/>
  <c r="E30" i="27"/>
  <c r="D30" i="27"/>
  <c r="C30" i="27"/>
  <c r="B30" i="27"/>
  <c r="K19" i="27"/>
  <c r="J19" i="27"/>
  <c r="I19" i="27"/>
  <c r="H19" i="27"/>
  <c r="G19" i="27"/>
  <c r="F19" i="27"/>
  <c r="E19" i="27"/>
  <c r="D19" i="27"/>
  <c r="C19" i="27"/>
  <c r="B19" i="27"/>
  <c r="C8" i="27"/>
  <c r="D8" i="27"/>
  <c r="E8" i="27"/>
  <c r="F8" i="27"/>
  <c r="G8" i="27"/>
  <c r="H8" i="27"/>
  <c r="I8" i="27"/>
  <c r="J8" i="27"/>
  <c r="K8" i="27"/>
  <c r="B8" i="27"/>
  <c r="B10" i="27" s="1"/>
  <c r="C17" i="90"/>
  <c r="E72" i="16"/>
  <c r="E67" i="16"/>
  <c r="E13" i="90"/>
  <c r="E21" i="90"/>
  <c r="E22" i="90"/>
  <c r="E23" i="90"/>
  <c r="E12" i="90"/>
  <c r="F31" i="91"/>
  <c r="B31" i="91"/>
  <c r="E21" i="91"/>
  <c r="B21" i="91"/>
  <c r="C8" i="90"/>
  <c r="C7" i="90"/>
  <c r="E61" i="16"/>
  <c r="E57" i="16"/>
  <c r="I16" i="37"/>
  <c r="A16" i="37" s="1"/>
  <c r="I18" i="37"/>
  <c r="A18" i="37" s="1"/>
  <c r="I20" i="37"/>
  <c r="A20" i="37" s="1"/>
  <c r="E16" i="37"/>
  <c r="E17" i="37"/>
  <c r="E18" i="37"/>
  <c r="E13" i="37"/>
  <c r="E14" i="37"/>
  <c r="E19" i="37"/>
  <c r="E20" i="37"/>
  <c r="E15" i="37"/>
  <c r="G20" i="89" l="1"/>
  <c r="G22" i="89" s="1"/>
  <c r="G23" i="89" s="1"/>
  <c r="F32" i="89"/>
  <c r="F33" i="89" s="1"/>
  <c r="F34" i="89" s="1"/>
  <c r="B31" i="89"/>
  <c r="B33" i="89" s="1"/>
  <c r="C20" i="89"/>
  <c r="C22" i="89" s="1"/>
  <c r="C23" i="89" s="1"/>
  <c r="J31" i="89"/>
  <c r="J33" i="89" s="1"/>
  <c r="J34" i="89" s="1"/>
  <c r="C32" i="81"/>
  <c r="J43" i="81"/>
  <c r="H43" i="81"/>
  <c r="H44" i="81" s="1"/>
  <c r="H45" i="81" s="1"/>
  <c r="B31" i="83"/>
  <c r="D21" i="81"/>
  <c r="C21" i="81"/>
  <c r="C22" i="81" s="1"/>
  <c r="C23" i="81" s="1"/>
  <c r="E21" i="81"/>
  <c r="K10" i="81"/>
  <c r="K11" i="81" s="1"/>
  <c r="K12" i="81" s="1"/>
  <c r="I10" i="89"/>
  <c r="I11" i="89" s="1"/>
  <c r="I12" i="89" s="1"/>
  <c r="E10" i="89"/>
  <c r="E11" i="89" s="1"/>
  <c r="E12" i="89" s="1"/>
  <c r="I21" i="89"/>
  <c r="I22" i="89" s="1"/>
  <c r="I23" i="89" s="1"/>
  <c r="E21" i="89"/>
  <c r="E22" i="89" s="1"/>
  <c r="E23" i="89" s="1"/>
  <c r="H32" i="89"/>
  <c r="H33" i="89" s="1"/>
  <c r="H34" i="89" s="1"/>
  <c r="D32" i="89"/>
  <c r="D33" i="89" s="1"/>
  <c r="D34" i="89" s="1"/>
  <c r="H10" i="81"/>
  <c r="H11" i="81" s="1"/>
  <c r="H12" i="81" s="1"/>
  <c r="G31" i="81"/>
  <c r="G33" i="81" s="1"/>
  <c r="G34" i="81" s="1"/>
  <c r="D43" i="81"/>
  <c r="D44" i="81" s="1"/>
  <c r="D45" i="81" s="1"/>
  <c r="B9" i="89"/>
  <c r="B11" i="89" s="1"/>
  <c r="H10" i="89"/>
  <c r="H11" i="89" s="1"/>
  <c r="H12" i="89" s="1"/>
  <c r="D10" i="89"/>
  <c r="D11" i="89" s="1"/>
  <c r="D12" i="89" s="1"/>
  <c r="H21" i="89"/>
  <c r="H22" i="89" s="1"/>
  <c r="H23" i="89" s="1"/>
  <c r="D21" i="89"/>
  <c r="D22" i="89" s="1"/>
  <c r="D23" i="89" s="1"/>
  <c r="G32" i="89"/>
  <c r="G33" i="89" s="1"/>
  <c r="G34" i="89" s="1"/>
  <c r="C32" i="89"/>
  <c r="C33" i="89" s="1"/>
  <c r="C34" i="89" s="1"/>
  <c r="D10" i="81"/>
  <c r="D11" i="81" s="1"/>
  <c r="D12" i="81" s="1"/>
  <c r="H20" i="81"/>
  <c r="H22" i="81" s="1"/>
  <c r="H23" i="81" s="1"/>
  <c r="K32" i="81"/>
  <c r="K33" i="81" s="1"/>
  <c r="K34" i="81" s="1"/>
  <c r="G10" i="89"/>
  <c r="G11" i="89" s="1"/>
  <c r="G12" i="89" s="1"/>
  <c r="C10" i="89"/>
  <c r="C11" i="89" s="1"/>
  <c r="C12" i="89" s="1"/>
  <c r="J10" i="89"/>
  <c r="J11" i="89" s="1"/>
  <c r="J12" i="89" s="1"/>
  <c r="F10" i="89"/>
  <c r="F11" i="89" s="1"/>
  <c r="F12" i="89" s="1"/>
  <c r="J21" i="89"/>
  <c r="J22" i="89" s="1"/>
  <c r="J23" i="89" s="1"/>
  <c r="F21" i="89"/>
  <c r="F22" i="89" s="1"/>
  <c r="F23" i="89" s="1"/>
  <c r="I32" i="89"/>
  <c r="I33" i="89" s="1"/>
  <c r="I34" i="89" s="1"/>
  <c r="E32" i="89"/>
  <c r="E33" i="89" s="1"/>
  <c r="E34" i="89" s="1"/>
  <c r="C9" i="91"/>
  <c r="C11" i="91" s="1"/>
  <c r="C12" i="91" s="1"/>
  <c r="D9" i="91"/>
  <c r="D11" i="91" s="1"/>
  <c r="D12" i="91" s="1"/>
  <c r="C31" i="91"/>
  <c r="C33" i="91" s="1"/>
  <c r="C34" i="91" s="1"/>
  <c r="D31" i="91"/>
  <c r="D33" i="91" s="1"/>
  <c r="D34" i="91" s="1"/>
  <c r="B20" i="91"/>
  <c r="F20" i="91"/>
  <c r="F22" i="91" s="1"/>
  <c r="F23" i="91" s="1"/>
  <c r="E10" i="91"/>
  <c r="E11" i="91" s="1"/>
  <c r="E12" i="91" s="1"/>
  <c r="B21" i="89"/>
  <c r="B20" i="89"/>
  <c r="B31" i="53"/>
  <c r="B32" i="53"/>
  <c r="B21" i="83"/>
  <c r="B22" i="83" s="1"/>
  <c r="B9" i="83"/>
  <c r="B10" i="83"/>
  <c r="L43" i="81"/>
  <c r="L44" i="81" s="1"/>
  <c r="L45" i="81" s="1"/>
  <c r="L21" i="81"/>
  <c r="L22" i="81" s="1"/>
  <c r="L23" i="81" s="1"/>
  <c r="L10" i="81"/>
  <c r="L11" i="81" s="1"/>
  <c r="L12" i="81" s="1"/>
  <c r="J44" i="81"/>
  <c r="J45" i="81" s="1"/>
  <c r="I32" i="81"/>
  <c r="I33" i="81" s="1"/>
  <c r="I34" i="81" s="1"/>
  <c r="B31" i="81"/>
  <c r="B33" i="81" s="1"/>
  <c r="E32" i="81"/>
  <c r="E33" i="81" s="1"/>
  <c r="E34" i="81" s="1"/>
  <c r="C33" i="81"/>
  <c r="C34" i="81" s="1"/>
  <c r="G20" i="81"/>
  <c r="G22" i="81" s="1"/>
  <c r="G23" i="81" s="1"/>
  <c r="I10" i="81"/>
  <c r="I11" i="81" s="1"/>
  <c r="I12" i="81" s="1"/>
  <c r="E10" i="81"/>
  <c r="E11" i="81" s="1"/>
  <c r="E12" i="81" s="1"/>
  <c r="B9" i="81"/>
  <c r="B11" i="81" s="1"/>
  <c r="G9" i="81"/>
  <c r="G11" i="81" s="1"/>
  <c r="G12" i="81" s="1"/>
  <c r="K22" i="81"/>
  <c r="K23" i="81" s="1"/>
  <c r="C10" i="81"/>
  <c r="C11" i="81" s="1"/>
  <c r="C12" i="81" s="1"/>
  <c r="B21" i="81"/>
  <c r="B22" i="81" s="1"/>
  <c r="I21" i="81"/>
  <c r="I22" i="81" s="1"/>
  <c r="I23" i="81" s="1"/>
  <c r="D22" i="81"/>
  <c r="D23" i="81" s="1"/>
  <c r="B43" i="81"/>
  <c r="B44" i="81" s="1"/>
  <c r="F42" i="81"/>
  <c r="F44" i="81" s="1"/>
  <c r="F45" i="81" s="1"/>
  <c r="J32" i="81"/>
  <c r="J33" i="81" s="1"/>
  <c r="J34" i="81" s="1"/>
  <c r="F32" i="81"/>
  <c r="F33" i="81" s="1"/>
  <c r="F34" i="81" s="1"/>
  <c r="L31" i="81"/>
  <c r="L33" i="81" s="1"/>
  <c r="L34" i="81" s="1"/>
  <c r="H31" i="81"/>
  <c r="H33" i="81" s="1"/>
  <c r="H34" i="81" s="1"/>
  <c r="D31" i="81"/>
  <c r="D33" i="81" s="1"/>
  <c r="D34" i="81" s="1"/>
  <c r="K43" i="81"/>
  <c r="K44" i="81" s="1"/>
  <c r="K45" i="81" s="1"/>
  <c r="G43" i="81"/>
  <c r="G44" i="81" s="1"/>
  <c r="G45" i="81" s="1"/>
  <c r="C43" i="81"/>
  <c r="C44" i="81" s="1"/>
  <c r="C45" i="81" s="1"/>
  <c r="I42" i="81"/>
  <c r="I44" i="81" s="1"/>
  <c r="I45" i="81" s="1"/>
  <c r="E42" i="81"/>
  <c r="E44" i="81" s="1"/>
  <c r="E45" i="81" s="1"/>
  <c r="E22" i="81"/>
  <c r="E23" i="81" s="1"/>
  <c r="J20" i="81"/>
  <c r="J22" i="81" s="1"/>
  <c r="J23" i="81" s="1"/>
  <c r="F20" i="81"/>
  <c r="F22" i="81" s="1"/>
  <c r="F23" i="81" s="1"/>
  <c r="J9" i="81"/>
  <c r="J11" i="81" s="1"/>
  <c r="J12" i="81" s="1"/>
  <c r="F9" i="81"/>
  <c r="F11" i="81" s="1"/>
  <c r="F12" i="81" s="1"/>
  <c r="B9" i="27"/>
  <c r="B11" i="27" s="1"/>
  <c r="B22" i="91"/>
  <c r="B23" i="91" s="1"/>
  <c r="E22" i="91"/>
  <c r="E23" i="91" s="1"/>
  <c r="C21" i="91"/>
  <c r="C22" i="91" s="1"/>
  <c r="C23" i="91" s="1"/>
  <c r="E32" i="91"/>
  <c r="E33" i="91" s="1"/>
  <c r="E34" i="91" s="1"/>
  <c r="B10" i="91"/>
  <c r="B11" i="91" s="1"/>
  <c r="B12" i="91" s="1"/>
  <c r="F10" i="91"/>
  <c r="F11" i="91" s="1"/>
  <c r="F12" i="91" s="1"/>
  <c r="D21" i="91"/>
  <c r="D22" i="91" s="1"/>
  <c r="D23" i="91" s="1"/>
  <c r="B32" i="91"/>
  <c r="B33" i="91" s="1"/>
  <c r="B34" i="91" s="1"/>
  <c r="F32" i="91"/>
  <c r="F33" i="91" s="1"/>
  <c r="F34" i="91" s="1"/>
  <c r="B22" i="89" l="1"/>
  <c r="H37" i="89"/>
  <c r="F37" i="89"/>
  <c r="C37" i="89"/>
  <c r="D37" i="89"/>
  <c r="G37" i="89"/>
  <c r="E37" i="89"/>
  <c r="I37" i="89"/>
  <c r="J37" i="89"/>
  <c r="C37" i="91"/>
  <c r="F13" i="90" s="1"/>
  <c r="D37" i="91"/>
  <c r="F37" i="91"/>
  <c r="B33" i="53"/>
  <c r="B34" i="53" s="1"/>
  <c r="B11" i="83"/>
  <c r="E37" i="91"/>
  <c r="F22" i="90" s="1"/>
  <c r="B37" i="91"/>
  <c r="F12" i="90" s="1"/>
  <c r="F21" i="90" l="1"/>
  <c r="F23" i="90"/>
  <c r="G22" i="90" s="1"/>
  <c r="A21" i="90" s="1"/>
  <c r="G13" i="90"/>
  <c r="A13" i="90" s="1"/>
  <c r="G12" i="90"/>
  <c r="A12" i="90" s="1"/>
  <c r="G21" i="90"/>
  <c r="A20" i="90" s="1"/>
  <c r="G23" i="90"/>
  <c r="A22" i="90" s="1"/>
  <c r="I16" i="80"/>
  <c r="I17" i="80"/>
  <c r="D23" i="88"/>
  <c r="E22" i="88"/>
  <c r="D22" i="88"/>
  <c r="E21" i="88"/>
  <c r="D21" i="88"/>
  <c r="E20" i="88"/>
  <c r="D20" i="88"/>
  <c r="E19" i="88"/>
  <c r="D19" i="88"/>
  <c r="E18" i="88"/>
  <c r="D18" i="88"/>
  <c r="E17" i="88"/>
  <c r="D17" i="88"/>
  <c r="E16" i="88"/>
  <c r="D16" i="88"/>
  <c r="E15" i="88"/>
  <c r="D15" i="88"/>
  <c r="E14" i="88"/>
  <c r="D14" i="88"/>
  <c r="E15" i="86"/>
  <c r="E16" i="86"/>
  <c r="E17" i="86"/>
  <c r="E18" i="86"/>
  <c r="E19" i="86"/>
  <c r="E20" i="86"/>
  <c r="E21" i="86"/>
  <c r="E22" i="86"/>
  <c r="E23" i="86"/>
  <c r="E14" i="86"/>
  <c r="D15" i="86"/>
  <c r="D16" i="86"/>
  <c r="D17" i="86"/>
  <c r="D18" i="86"/>
  <c r="D19" i="86"/>
  <c r="D20" i="86"/>
  <c r="D21" i="86"/>
  <c r="D22" i="86"/>
  <c r="D23" i="86"/>
  <c r="D14" i="86"/>
  <c r="I32" i="87"/>
  <c r="K32" i="87"/>
  <c r="J31" i="87"/>
  <c r="I31" i="87"/>
  <c r="H31" i="87"/>
  <c r="G32" i="87"/>
  <c r="F31" i="87"/>
  <c r="E32" i="87"/>
  <c r="D31" i="87"/>
  <c r="C32" i="87"/>
  <c r="B31" i="87"/>
  <c r="D21" i="87"/>
  <c r="C21" i="87"/>
  <c r="K20" i="87"/>
  <c r="J21" i="87"/>
  <c r="I20" i="87"/>
  <c r="H21" i="87"/>
  <c r="G20" i="87"/>
  <c r="F21" i="87"/>
  <c r="E20" i="87"/>
  <c r="D20" i="87"/>
  <c r="C20" i="87"/>
  <c r="B21" i="87"/>
  <c r="K10" i="87"/>
  <c r="J9" i="87"/>
  <c r="I10" i="87"/>
  <c r="H9" i="87"/>
  <c r="G10" i="87"/>
  <c r="F9" i="87"/>
  <c r="E10" i="87"/>
  <c r="D9" i="87"/>
  <c r="C10" i="87"/>
  <c r="B9" i="87"/>
  <c r="D24" i="86"/>
  <c r="B69" i="16" l="1"/>
  <c r="K69" i="16" s="1"/>
  <c r="B68" i="16"/>
  <c r="K68" i="16" s="1"/>
  <c r="B73" i="16"/>
  <c r="B74" i="16"/>
  <c r="B75" i="16"/>
  <c r="C9" i="87"/>
  <c r="C11" i="87" s="1"/>
  <c r="C12" i="87" s="1"/>
  <c r="G9" i="87"/>
  <c r="G11" i="87" s="1"/>
  <c r="G12" i="87" s="1"/>
  <c r="K9" i="87"/>
  <c r="K11" i="87" s="1"/>
  <c r="K12" i="87" s="1"/>
  <c r="H32" i="87"/>
  <c r="H33" i="87" s="1"/>
  <c r="H34" i="87" s="1"/>
  <c r="K21" i="87"/>
  <c r="K22" i="87" s="1"/>
  <c r="K23" i="87" s="1"/>
  <c r="J10" i="87"/>
  <c r="J11" i="87" s="1"/>
  <c r="J12" i="87" s="1"/>
  <c r="B10" i="87"/>
  <c r="B11" i="87" s="1"/>
  <c r="B12" i="87" s="1"/>
  <c r="I33" i="87"/>
  <c r="I34" i="87" s="1"/>
  <c r="D22" i="87"/>
  <c r="D23" i="87" s="1"/>
  <c r="B23" i="89"/>
  <c r="B12" i="89"/>
  <c r="B34" i="89"/>
  <c r="C31" i="87"/>
  <c r="C33" i="87" s="1"/>
  <c r="C34" i="87" s="1"/>
  <c r="K31" i="87"/>
  <c r="K33" i="87" s="1"/>
  <c r="K34" i="87" s="1"/>
  <c r="I9" i="87"/>
  <c r="I11" i="87" s="1"/>
  <c r="I12" i="87" s="1"/>
  <c r="F10" i="87"/>
  <c r="F11" i="87" s="1"/>
  <c r="F12" i="87" s="1"/>
  <c r="C22" i="87"/>
  <c r="C23" i="87" s="1"/>
  <c r="H20" i="87"/>
  <c r="H22" i="87" s="1"/>
  <c r="H23" i="87" s="1"/>
  <c r="G21" i="87"/>
  <c r="G22" i="87" s="1"/>
  <c r="G23" i="87" s="1"/>
  <c r="E31" i="87"/>
  <c r="E33" i="87" s="1"/>
  <c r="E34" i="87" s="1"/>
  <c r="D32" i="87"/>
  <c r="D33" i="87" s="1"/>
  <c r="D34" i="87" s="1"/>
  <c r="E9" i="87"/>
  <c r="E11" i="87" s="1"/>
  <c r="E12" i="87" s="1"/>
  <c r="F20" i="87"/>
  <c r="F22" i="87" s="1"/>
  <c r="F23" i="87" s="1"/>
  <c r="B20" i="87"/>
  <c r="B22" i="87" s="1"/>
  <c r="B23" i="87" s="1"/>
  <c r="J20" i="87"/>
  <c r="J22" i="87" s="1"/>
  <c r="J23" i="87" s="1"/>
  <c r="G31" i="87"/>
  <c r="G33" i="87" s="1"/>
  <c r="G34" i="87" s="1"/>
  <c r="D10" i="87"/>
  <c r="D11" i="87" s="1"/>
  <c r="D12" i="87" s="1"/>
  <c r="H10" i="87"/>
  <c r="H11" i="87" s="1"/>
  <c r="H12" i="87" s="1"/>
  <c r="E21" i="87"/>
  <c r="E22" i="87" s="1"/>
  <c r="E23" i="87" s="1"/>
  <c r="I21" i="87"/>
  <c r="I22" i="87" s="1"/>
  <c r="I23" i="87" s="1"/>
  <c r="B32" i="87"/>
  <c r="B33" i="87" s="1"/>
  <c r="B34" i="87" s="1"/>
  <c r="F32" i="87"/>
  <c r="F33" i="87" s="1"/>
  <c r="F34" i="87" s="1"/>
  <c r="J32" i="87"/>
  <c r="J33" i="87" s="1"/>
  <c r="J34" i="87" s="1"/>
  <c r="G68" i="16" l="1"/>
  <c r="I68" i="16"/>
  <c r="K70" i="16"/>
  <c r="H68" i="16"/>
  <c r="H69" i="16"/>
  <c r="J69" i="16"/>
  <c r="F68" i="16"/>
  <c r="J68" i="16"/>
  <c r="I69" i="16"/>
  <c r="G69" i="16"/>
  <c r="F69" i="16"/>
  <c r="G73" i="16"/>
  <c r="H73" i="16"/>
  <c r="I73" i="16"/>
  <c r="K73" i="16"/>
  <c r="F73" i="16"/>
  <c r="J73" i="16"/>
  <c r="J75" i="16"/>
  <c r="H75" i="16"/>
  <c r="I75" i="16"/>
  <c r="G75" i="16"/>
  <c r="K75" i="16"/>
  <c r="F75" i="16"/>
  <c r="G74" i="16"/>
  <c r="F74" i="16"/>
  <c r="J74" i="16"/>
  <c r="K74" i="16"/>
  <c r="I74" i="16"/>
  <c r="H74" i="16"/>
  <c r="F21" i="88"/>
  <c r="I23" i="80" s="1"/>
  <c r="F17" i="88"/>
  <c r="I19" i="80" s="1"/>
  <c r="F20" i="88"/>
  <c r="I22" i="80" s="1"/>
  <c r="C37" i="87"/>
  <c r="J37" i="87"/>
  <c r="B37" i="87"/>
  <c r="I37" i="87"/>
  <c r="F21" i="86" s="1"/>
  <c r="H29" i="23" s="1"/>
  <c r="G37" i="87"/>
  <c r="K37" i="87"/>
  <c r="F16" i="88"/>
  <c r="I18" i="80" s="1"/>
  <c r="F22" i="88"/>
  <c r="I14" i="82" s="1"/>
  <c r="F15" i="88"/>
  <c r="I15" i="80" s="1"/>
  <c r="F18" i="88"/>
  <c r="I20" i="80" s="1"/>
  <c r="B37" i="89"/>
  <c r="F14" i="88" s="1"/>
  <c r="I14" i="80" s="1"/>
  <c r="F37" i="87"/>
  <c r="H37" i="87"/>
  <c r="D37" i="87"/>
  <c r="E37" i="87"/>
  <c r="F17" i="86" s="1"/>
  <c r="H25" i="23" s="1"/>
  <c r="G70" i="16" l="1"/>
  <c r="F22" i="86"/>
  <c r="H30" i="23" s="1"/>
  <c r="F19" i="86"/>
  <c r="H27" i="23" s="1"/>
  <c r="F14" i="86"/>
  <c r="H15" i="23" s="1"/>
  <c r="F19" i="88"/>
  <c r="I21" i="80" s="1"/>
  <c r="I70" i="16"/>
  <c r="H70" i="16"/>
  <c r="J70" i="16"/>
  <c r="F70" i="16"/>
  <c r="H76" i="16"/>
  <c r="J76" i="16"/>
  <c r="F76" i="16"/>
  <c r="I76" i="16"/>
  <c r="K76" i="16"/>
  <c r="S63" i="16" s="1"/>
  <c r="G76" i="16"/>
  <c r="F15" i="86"/>
  <c r="H16" i="23" s="1"/>
  <c r="F18" i="86"/>
  <c r="H26" i="23" s="1"/>
  <c r="F23" i="86"/>
  <c r="H31" i="23" s="1"/>
  <c r="F16" i="86"/>
  <c r="H24" i="23" s="1"/>
  <c r="F20" i="86"/>
  <c r="H28" i="23" s="1"/>
  <c r="O63" i="16" l="1"/>
  <c r="Q63" i="16"/>
  <c r="P63" i="16"/>
  <c r="R63" i="16"/>
  <c r="N63" i="16"/>
  <c r="E53" i="16" l="1"/>
  <c r="M53" i="16" s="1"/>
  <c r="E41" i="16"/>
  <c r="M41" i="16" s="1"/>
  <c r="E30" i="16"/>
  <c r="M30" i="16" s="1"/>
  <c r="A24" i="80"/>
  <c r="E25" i="16"/>
  <c r="M25" i="16" s="1"/>
  <c r="M18" i="16"/>
  <c r="E18" i="16"/>
  <c r="E11" i="16"/>
  <c r="B36" i="52"/>
  <c r="B28" i="52"/>
  <c r="B26" i="52"/>
  <c r="B17" i="52"/>
  <c r="B18" i="52"/>
  <c r="B15" i="52"/>
  <c r="B43" i="83"/>
  <c r="B42" i="83"/>
  <c r="A36" i="83"/>
  <c r="A25" i="83"/>
  <c r="B23" i="83"/>
  <c r="A14" i="83"/>
  <c r="A3" i="83"/>
  <c r="F6" i="82"/>
  <c r="A36" i="81"/>
  <c r="A25" i="81"/>
  <c r="B23" i="81"/>
  <c r="A14" i="81"/>
  <c r="A3" i="81"/>
  <c r="I24" i="80"/>
  <c r="F6" i="80"/>
  <c r="J41" i="53"/>
  <c r="I41" i="53"/>
  <c r="H41" i="53"/>
  <c r="G41" i="53"/>
  <c r="F41" i="53"/>
  <c r="E41" i="53"/>
  <c r="D41" i="53"/>
  <c r="C41" i="53"/>
  <c r="B41" i="53"/>
  <c r="J30" i="53"/>
  <c r="I30" i="53"/>
  <c r="H30" i="53"/>
  <c r="G30" i="53"/>
  <c r="F30" i="53"/>
  <c r="E30" i="53"/>
  <c r="D30" i="53"/>
  <c r="C30" i="53"/>
  <c r="J19" i="53"/>
  <c r="I19" i="53"/>
  <c r="H19" i="53"/>
  <c r="G19" i="53"/>
  <c r="F19" i="53"/>
  <c r="E19" i="53"/>
  <c r="D19" i="53"/>
  <c r="C19" i="53"/>
  <c r="B19" i="53"/>
  <c r="C8" i="53"/>
  <c r="D8" i="53"/>
  <c r="E8" i="53"/>
  <c r="F8" i="53"/>
  <c r="G8" i="53"/>
  <c r="H8" i="53"/>
  <c r="I8" i="53"/>
  <c r="J8" i="53"/>
  <c r="B8" i="53"/>
  <c r="F32" i="52"/>
  <c r="G32" i="52" s="1"/>
  <c r="F31" i="52"/>
  <c r="G31" i="52" s="1"/>
  <c r="B42" i="53" l="1"/>
  <c r="B43" i="53"/>
  <c r="F42" i="53"/>
  <c r="F43" i="53"/>
  <c r="J42" i="53"/>
  <c r="J44" i="53" s="1"/>
  <c r="J45" i="53" s="1"/>
  <c r="J43" i="53"/>
  <c r="D42" i="53"/>
  <c r="D43" i="53"/>
  <c r="H42" i="53"/>
  <c r="H43" i="53"/>
  <c r="E42" i="53"/>
  <c r="E43" i="53"/>
  <c r="I42" i="53"/>
  <c r="I43" i="53"/>
  <c r="C42" i="53"/>
  <c r="C43" i="53"/>
  <c r="G42" i="53"/>
  <c r="G43" i="53"/>
  <c r="I31" i="53"/>
  <c r="I32" i="53"/>
  <c r="F31" i="53"/>
  <c r="F32" i="53"/>
  <c r="C31" i="53"/>
  <c r="C32" i="53"/>
  <c r="G31" i="53"/>
  <c r="G33" i="53" s="1"/>
  <c r="G34" i="53" s="1"/>
  <c r="G32" i="53"/>
  <c r="E31" i="53"/>
  <c r="E32" i="53"/>
  <c r="J31" i="53"/>
  <c r="J33" i="53" s="1"/>
  <c r="J34" i="53" s="1"/>
  <c r="J32" i="53"/>
  <c r="D31" i="53"/>
  <c r="D32" i="53"/>
  <c r="H31" i="53"/>
  <c r="H32" i="53"/>
  <c r="E20" i="53"/>
  <c r="E21" i="53"/>
  <c r="I20" i="53"/>
  <c r="I21" i="53"/>
  <c r="B21" i="53"/>
  <c r="B20" i="53"/>
  <c r="F20" i="53"/>
  <c r="F22" i="53" s="1"/>
  <c r="F23" i="53" s="1"/>
  <c r="F21" i="53"/>
  <c r="J20" i="53"/>
  <c r="J21" i="53"/>
  <c r="C20" i="53"/>
  <c r="C21" i="53"/>
  <c r="G20" i="53"/>
  <c r="G21" i="53"/>
  <c r="G22" i="53" s="1"/>
  <c r="G23" i="53" s="1"/>
  <c r="D20" i="53"/>
  <c r="D21" i="53"/>
  <c r="H20" i="53"/>
  <c r="H21" i="53"/>
  <c r="I9" i="53"/>
  <c r="I10" i="53"/>
  <c r="H9" i="53"/>
  <c r="H10" i="53"/>
  <c r="D9" i="53"/>
  <c r="D10" i="53"/>
  <c r="B9" i="53"/>
  <c r="B10" i="53"/>
  <c r="G9" i="53"/>
  <c r="G10" i="53"/>
  <c r="C9" i="53"/>
  <c r="C10" i="53"/>
  <c r="J9" i="53"/>
  <c r="J10" i="53"/>
  <c r="F9" i="53"/>
  <c r="F10" i="53"/>
  <c r="E9" i="53"/>
  <c r="E10" i="53"/>
  <c r="B33" i="83"/>
  <c r="B34" i="83" s="1"/>
  <c r="B44" i="83"/>
  <c r="B45" i="83" s="1"/>
  <c r="B12" i="83"/>
  <c r="D48" i="81"/>
  <c r="H48" i="81"/>
  <c r="G20" i="80" s="1"/>
  <c r="G48" i="81"/>
  <c r="L48" i="81"/>
  <c r="K48" i="81"/>
  <c r="G23" i="80" s="1"/>
  <c r="I48" i="81"/>
  <c r="C48" i="81"/>
  <c r="G15" i="80" s="1"/>
  <c r="E48" i="81"/>
  <c r="G17" i="80" s="1"/>
  <c r="F48" i="81"/>
  <c r="J48" i="81"/>
  <c r="G22" i="80" s="1"/>
  <c r="B45" i="81"/>
  <c r="B12" i="81"/>
  <c r="B34" i="81"/>
  <c r="H22" i="53" l="1"/>
  <c r="H23" i="53" s="1"/>
  <c r="G18" i="80"/>
  <c r="G16" i="80"/>
  <c r="G17" i="37" s="1"/>
  <c r="G11" i="53"/>
  <c r="G12" i="53" s="1"/>
  <c r="G19" i="80"/>
  <c r="E33" i="53"/>
  <c r="E34" i="53" s="1"/>
  <c r="G24" i="80"/>
  <c r="G44" i="53"/>
  <c r="G45" i="53" s="1"/>
  <c r="E44" i="53"/>
  <c r="E45" i="53" s="1"/>
  <c r="C44" i="53"/>
  <c r="C45" i="53" s="1"/>
  <c r="H44" i="53"/>
  <c r="H45" i="53" s="1"/>
  <c r="C33" i="53"/>
  <c r="C34" i="53" s="1"/>
  <c r="I33" i="53"/>
  <c r="I34" i="53" s="1"/>
  <c r="H33" i="53"/>
  <c r="H34" i="53" s="1"/>
  <c r="F33" i="53"/>
  <c r="F34" i="53" s="1"/>
  <c r="C22" i="53"/>
  <c r="C23" i="53" s="1"/>
  <c r="B22" i="53"/>
  <c r="B23" i="53" s="1"/>
  <c r="J22" i="53"/>
  <c r="J23" i="53" s="1"/>
  <c r="E22" i="53"/>
  <c r="E23" i="53" s="1"/>
  <c r="D22" i="53"/>
  <c r="D23" i="53" s="1"/>
  <c r="H11" i="53"/>
  <c r="H12" i="53" s="1"/>
  <c r="D11" i="53"/>
  <c r="D12" i="53" s="1"/>
  <c r="I11" i="53"/>
  <c r="I12" i="53" s="1"/>
  <c r="D44" i="53"/>
  <c r="D45" i="53" s="1"/>
  <c r="F44" i="53"/>
  <c r="F45" i="53" s="1"/>
  <c r="F11" i="53"/>
  <c r="F12" i="53" s="1"/>
  <c r="I22" i="53"/>
  <c r="I23" i="53" s="1"/>
  <c r="D33" i="53"/>
  <c r="D34" i="53" s="1"/>
  <c r="I44" i="53"/>
  <c r="I45" i="53" s="1"/>
  <c r="B44" i="53"/>
  <c r="B45" i="53" s="1"/>
  <c r="B11" i="53"/>
  <c r="B12" i="53" s="1"/>
  <c r="E11" i="53"/>
  <c r="E12" i="53" s="1"/>
  <c r="C11" i="53"/>
  <c r="C12" i="53" s="1"/>
  <c r="J11" i="53"/>
  <c r="J12" i="53" s="1"/>
  <c r="B48" i="83"/>
  <c r="G14" i="82" s="1"/>
  <c r="B48" i="81"/>
  <c r="G21" i="80" s="1"/>
  <c r="J21" i="80" s="1"/>
  <c r="J15" i="80"/>
  <c r="G18" i="37"/>
  <c r="G15" i="37"/>
  <c r="J19" i="80"/>
  <c r="J22" i="80"/>
  <c r="J23" i="80"/>
  <c r="G19" i="37"/>
  <c r="G20" i="37"/>
  <c r="J14" i="82" l="1"/>
  <c r="K14" i="82" s="1"/>
  <c r="B14" i="82" s="1"/>
  <c r="C54" i="16" s="1"/>
  <c r="H14" i="82"/>
  <c r="A14" i="82" s="1"/>
  <c r="B54" i="16" s="1"/>
  <c r="G14" i="80"/>
  <c r="J14" i="80" s="1"/>
  <c r="J17" i="80"/>
  <c r="K17" i="80" s="1"/>
  <c r="B17" i="80" s="1"/>
  <c r="J20" i="80"/>
  <c r="J24" i="80"/>
  <c r="K24" i="80" s="1"/>
  <c r="B24" i="80" s="1"/>
  <c r="J18" i="80"/>
  <c r="J16" i="80"/>
  <c r="H21" i="80" l="1"/>
  <c r="A21" i="80" s="1"/>
  <c r="O54" i="16"/>
  <c r="O55" i="16" s="1"/>
  <c r="R54" i="16"/>
  <c r="R55" i="16" s="1"/>
  <c r="Q54" i="16"/>
  <c r="Q55" i="16" s="1"/>
  <c r="N54" i="16"/>
  <c r="N55" i="16" s="1"/>
  <c r="P54" i="16"/>
  <c r="P55" i="16" s="1"/>
  <c r="S54" i="16"/>
  <c r="S55" i="16" s="1"/>
  <c r="K54" i="16"/>
  <c r="K55" i="16" s="1"/>
  <c r="F54" i="16"/>
  <c r="F55" i="16" s="1"/>
  <c r="J54" i="16"/>
  <c r="J55" i="16" s="1"/>
  <c r="I54" i="16"/>
  <c r="I55" i="16" s="1"/>
  <c r="H54" i="16"/>
  <c r="H55" i="16" s="1"/>
  <c r="G54" i="16"/>
  <c r="G55" i="16" s="1"/>
  <c r="H20" i="80"/>
  <c r="A20" i="80" s="1"/>
  <c r="H22" i="80"/>
  <c r="A22" i="80" s="1"/>
  <c r="H19" i="80"/>
  <c r="A19" i="80" s="1"/>
  <c r="H18" i="80"/>
  <c r="A18" i="80" s="1"/>
  <c r="H14" i="80"/>
  <c r="A14" i="80" s="1"/>
  <c r="H16" i="80"/>
  <c r="A16" i="80" s="1"/>
  <c r="H23" i="80"/>
  <c r="A23" i="80" s="1"/>
  <c r="H15" i="80"/>
  <c r="A15" i="80" s="1"/>
  <c r="H17" i="80"/>
  <c r="A17" i="80" s="1"/>
  <c r="G16" i="37"/>
  <c r="K20" i="80"/>
  <c r="B20" i="80" s="1"/>
  <c r="K23" i="80"/>
  <c r="B23" i="80" s="1"/>
  <c r="K19" i="80"/>
  <c r="B19" i="80" s="1"/>
  <c r="K14" i="80"/>
  <c r="B14" i="80" s="1"/>
  <c r="K22" i="80"/>
  <c r="B22" i="80" s="1"/>
  <c r="K18" i="80"/>
  <c r="B18" i="80" s="1"/>
  <c r="K16" i="80"/>
  <c r="B16" i="80" s="1"/>
  <c r="K21" i="80"/>
  <c r="B21" i="80" s="1"/>
  <c r="K15" i="80"/>
  <c r="B15" i="80" s="1"/>
  <c r="B46" i="16" l="1"/>
  <c r="F46" i="16" s="1"/>
  <c r="B47" i="16"/>
  <c r="G47" i="16" s="1"/>
  <c r="B42" i="16"/>
  <c r="F42" i="16" s="1"/>
  <c r="B48" i="16"/>
  <c r="F48" i="16" s="1"/>
  <c r="B43" i="16"/>
  <c r="K43" i="16" s="1"/>
  <c r="B49" i="16"/>
  <c r="G49" i="16" s="1"/>
  <c r="B44" i="16"/>
  <c r="I44" i="16" s="1"/>
  <c r="B51" i="16"/>
  <c r="B45" i="16"/>
  <c r="H45" i="16" s="1"/>
  <c r="B50" i="16"/>
  <c r="G50" i="16" s="1"/>
  <c r="C46" i="16"/>
  <c r="P46" i="16" s="1"/>
  <c r="C50" i="16"/>
  <c r="S50" i="16" s="1"/>
  <c r="C43" i="16"/>
  <c r="S43" i="16" s="1"/>
  <c r="C47" i="16"/>
  <c r="S47" i="16" s="1"/>
  <c r="C51" i="16"/>
  <c r="C49" i="16"/>
  <c r="N49" i="16" s="1"/>
  <c r="C44" i="16"/>
  <c r="O44" i="16" s="1"/>
  <c r="C48" i="16"/>
  <c r="S48" i="16" s="1"/>
  <c r="C45" i="16"/>
  <c r="N45" i="16" s="1"/>
  <c r="C42" i="16"/>
  <c r="S42" i="16" s="1"/>
  <c r="I42" i="16" l="1"/>
  <c r="J46" i="16"/>
  <c r="H42" i="16"/>
  <c r="K46" i="16"/>
  <c r="H46" i="16"/>
  <c r="I46" i="16"/>
  <c r="G46" i="16"/>
  <c r="J47" i="16"/>
  <c r="H47" i="16"/>
  <c r="I49" i="16"/>
  <c r="K47" i="16"/>
  <c r="I47" i="16"/>
  <c r="F47" i="16"/>
  <c r="K49" i="16"/>
  <c r="I50" i="16"/>
  <c r="J42" i="16"/>
  <c r="K44" i="16"/>
  <c r="F44" i="16"/>
  <c r="G48" i="16"/>
  <c r="J48" i="16"/>
  <c r="K42" i="16"/>
  <c r="H44" i="16"/>
  <c r="G42" i="16"/>
  <c r="J43" i="16"/>
  <c r="F45" i="16"/>
  <c r="J45" i="16"/>
  <c r="H48" i="16"/>
  <c r="H43" i="16"/>
  <c r="G43" i="16"/>
  <c r="K45" i="16"/>
  <c r="K50" i="16"/>
  <c r="J49" i="16"/>
  <c r="I48" i="16"/>
  <c r="F50" i="16"/>
  <c r="K48" i="16"/>
  <c r="G45" i="16"/>
  <c r="G44" i="16"/>
  <c r="J44" i="16"/>
  <c r="F43" i="16"/>
  <c r="I45" i="16"/>
  <c r="I43" i="16"/>
  <c r="H50" i="16"/>
  <c r="F49" i="16"/>
  <c r="H49" i="16"/>
  <c r="J50" i="16"/>
  <c r="P45" i="16"/>
  <c r="S49" i="16"/>
  <c r="Q49" i="16"/>
  <c r="R49" i="16"/>
  <c r="Q46" i="16"/>
  <c r="N44" i="16"/>
  <c r="P49" i="16"/>
  <c r="O50" i="16"/>
  <c r="O49" i="16"/>
  <c r="R46" i="16"/>
  <c r="R44" i="16"/>
  <c r="Q44" i="16"/>
  <c r="O46" i="16"/>
  <c r="S46" i="16"/>
  <c r="R43" i="16"/>
  <c r="N46" i="16"/>
  <c r="R48" i="16"/>
  <c r="Q45" i="16"/>
  <c r="P47" i="16"/>
  <c r="Q47" i="16"/>
  <c r="N47" i="16"/>
  <c r="O43" i="16"/>
  <c r="N48" i="16"/>
  <c r="P43" i="16"/>
  <c r="R47" i="16"/>
  <c r="O47" i="16"/>
  <c r="Q43" i="16"/>
  <c r="P48" i="16"/>
  <c r="R50" i="16"/>
  <c r="R45" i="16"/>
  <c r="Q50" i="16"/>
  <c r="R42" i="16"/>
  <c r="N43" i="16"/>
  <c r="S45" i="16"/>
  <c r="S44" i="16"/>
  <c r="P50" i="16"/>
  <c r="O45" i="16"/>
  <c r="P44" i="16"/>
  <c r="O42" i="16"/>
  <c r="P42" i="16"/>
  <c r="N50" i="16"/>
  <c r="N42" i="16"/>
  <c r="Q48" i="16"/>
  <c r="Q42" i="16"/>
  <c r="O48" i="16"/>
  <c r="K51" i="16" l="1"/>
  <c r="H51" i="16"/>
  <c r="I51" i="16"/>
  <c r="G51" i="16"/>
  <c r="J51" i="16"/>
  <c r="F51" i="16"/>
  <c r="S51" i="16"/>
  <c r="N51" i="16"/>
  <c r="P51" i="16"/>
  <c r="R51" i="16"/>
  <c r="O51" i="16"/>
  <c r="Q51" i="16"/>
  <c r="E20" i="23" l="1"/>
  <c r="C16" i="90" l="1"/>
  <c r="C9" i="86"/>
  <c r="C9" i="88"/>
  <c r="E19" i="23"/>
  <c r="M283" i="16"/>
  <c r="N283" i="16"/>
  <c r="O283" i="16"/>
  <c r="L283" i="16"/>
  <c r="G280" i="16"/>
  <c r="H280" i="16"/>
  <c r="I280" i="16"/>
  <c r="F280" i="16"/>
  <c r="B280" i="16"/>
  <c r="C280" i="16" s="1"/>
  <c r="N280" i="16" s="1"/>
  <c r="B281" i="16"/>
  <c r="C281" i="16" s="1"/>
  <c r="N281" i="16" s="1"/>
  <c r="B279" i="16"/>
  <c r="C279" i="16" s="1"/>
  <c r="B230" i="16"/>
  <c r="B231" i="16"/>
  <c r="B232" i="16"/>
  <c r="B233" i="16"/>
  <c r="B234" i="16"/>
  <c r="B229" i="16"/>
  <c r="B255" i="16"/>
  <c r="B251" i="16"/>
  <c r="C251" i="16" s="1"/>
  <c r="F251" i="16" s="1"/>
  <c r="B252" i="16"/>
  <c r="B253" i="16"/>
  <c r="B254" i="16"/>
  <c r="B246" i="16"/>
  <c r="C246" i="16" s="1"/>
  <c r="B247" i="16"/>
  <c r="C247" i="16" s="1"/>
  <c r="B248" i="16"/>
  <c r="B249" i="16"/>
  <c r="C249" i="16" s="1"/>
  <c r="B250" i="16"/>
  <c r="C250" i="16" s="1"/>
  <c r="B245" i="16"/>
  <c r="C245" i="16" s="1"/>
  <c r="F245" i="16" s="1"/>
  <c r="B238" i="16"/>
  <c r="C238" i="16" s="1"/>
  <c r="O238" i="16" s="1"/>
  <c r="B239" i="16"/>
  <c r="B240" i="16"/>
  <c r="C240" i="16" s="1"/>
  <c r="O240" i="16" s="1"/>
  <c r="B241" i="16"/>
  <c r="B242" i="16"/>
  <c r="B237" i="16"/>
  <c r="C8" i="88" l="1"/>
  <c r="C8" i="86"/>
  <c r="L281" i="16"/>
  <c r="O280" i="16"/>
  <c r="L280" i="16"/>
  <c r="O281" i="16"/>
  <c r="M281" i="16"/>
  <c r="M280" i="16"/>
  <c r="G251" i="16"/>
  <c r="C248" i="16"/>
  <c r="G245" i="16"/>
  <c r="H245" i="16"/>
  <c r="H251" i="16"/>
  <c r="I245" i="16"/>
  <c r="I251" i="16"/>
  <c r="C242" i="16"/>
  <c r="O242" i="16" s="1"/>
  <c r="L240" i="16"/>
  <c r="L238" i="16"/>
  <c r="C237" i="16"/>
  <c r="M238" i="16"/>
  <c r="N238" i="16"/>
  <c r="N240" i="16"/>
  <c r="C239" i="16"/>
  <c r="M240" i="16"/>
  <c r="C241" i="16"/>
  <c r="N279" i="16" l="1"/>
  <c r="M242" i="16"/>
  <c r="N242" i="16"/>
  <c r="L242" i="16"/>
  <c r="L241" i="16"/>
  <c r="N241" i="16"/>
  <c r="O241" i="16"/>
  <c r="M241" i="16"/>
  <c r="L239" i="16"/>
  <c r="N239" i="16"/>
  <c r="O239" i="16"/>
  <c r="M239" i="16"/>
  <c r="L237" i="16"/>
  <c r="O237" i="16"/>
  <c r="N237" i="16"/>
  <c r="M237" i="16"/>
  <c r="M364" i="16"/>
  <c r="N364" i="16"/>
  <c r="O364" i="16"/>
  <c r="L364" i="16"/>
  <c r="G364" i="16"/>
  <c r="H364" i="16"/>
  <c r="I364" i="16"/>
  <c r="F364" i="16"/>
  <c r="B174" i="16"/>
  <c r="B175" i="16"/>
  <c r="B176" i="16"/>
  <c r="B177" i="16"/>
  <c r="B178" i="16"/>
  <c r="B179" i="16"/>
  <c r="B180" i="16"/>
  <c r="B181" i="16"/>
  <c r="B182" i="16"/>
  <c r="B183" i="16"/>
  <c r="B173" i="16"/>
  <c r="M279" i="16" l="1"/>
  <c r="L279" i="16"/>
  <c r="O279" i="16"/>
  <c r="B194" i="16" l="1"/>
  <c r="B195" i="16"/>
  <c r="B196" i="16"/>
  <c r="B193" i="16"/>
  <c r="B204" i="16" l="1"/>
  <c r="B205" i="16"/>
  <c r="B206" i="16"/>
  <c r="B207" i="16"/>
  <c r="B208" i="16"/>
  <c r="B209" i="16"/>
  <c r="B210" i="16"/>
  <c r="B211" i="16"/>
  <c r="B212" i="16"/>
  <c r="B213" i="16"/>
  <c r="B214" i="16"/>
  <c r="B203" i="16"/>
  <c r="B187" i="16"/>
  <c r="B188" i="16"/>
  <c r="B189" i="16"/>
  <c r="B190" i="16"/>
  <c r="B186" i="16"/>
  <c r="B161" i="16"/>
  <c r="B162" i="16"/>
  <c r="B163" i="16"/>
  <c r="B164" i="16"/>
  <c r="B165" i="16"/>
  <c r="B166" i="16"/>
  <c r="B167" i="16"/>
  <c r="B168" i="16"/>
  <c r="B169" i="16"/>
  <c r="B170" i="16"/>
  <c r="B160" i="16"/>
  <c r="B218" i="16"/>
  <c r="B219" i="16"/>
  <c r="B220" i="16"/>
  <c r="B221" i="16"/>
  <c r="B222" i="16"/>
  <c r="B223" i="16"/>
  <c r="B224" i="16"/>
  <c r="B225" i="16"/>
  <c r="B226" i="16"/>
  <c r="B217" i="16"/>
  <c r="E4" i="16" l="1"/>
  <c r="C234" i="16"/>
  <c r="C233" i="16"/>
  <c r="C232" i="16"/>
  <c r="C231" i="16"/>
  <c r="C230" i="16"/>
  <c r="C229" i="16"/>
  <c r="C194" i="16"/>
  <c r="C195" i="16"/>
  <c r="C196" i="16"/>
  <c r="C193" i="16"/>
  <c r="M229" i="16" l="1"/>
  <c r="L229" i="16"/>
  <c r="O229" i="16"/>
  <c r="N229" i="16"/>
  <c r="L233" i="16"/>
  <c r="O233" i="16"/>
  <c r="N233" i="16"/>
  <c r="M233" i="16"/>
  <c r="M230" i="16"/>
  <c r="L230" i="16"/>
  <c r="N230" i="16"/>
  <c r="O230" i="16"/>
  <c r="L234" i="16"/>
  <c r="M234" i="16"/>
  <c r="O234" i="16"/>
  <c r="N234" i="16"/>
  <c r="M231" i="16"/>
  <c r="L231" i="16"/>
  <c r="O231" i="16"/>
  <c r="N231" i="16"/>
  <c r="M232" i="16"/>
  <c r="N232" i="16"/>
  <c r="L232" i="16"/>
  <c r="O232" i="16"/>
  <c r="O196" i="16"/>
  <c r="N196" i="16"/>
  <c r="M196" i="16"/>
  <c r="L196" i="16"/>
  <c r="N195" i="16"/>
  <c r="M195" i="16"/>
  <c r="L195" i="16"/>
  <c r="O195" i="16"/>
  <c r="O193" i="16"/>
  <c r="N193" i="16"/>
  <c r="M193" i="16"/>
  <c r="L193" i="16"/>
  <c r="O194" i="16"/>
  <c r="N194" i="16"/>
  <c r="M194" i="16"/>
  <c r="L194" i="16"/>
  <c r="C187" i="16" l="1"/>
  <c r="C186" i="16"/>
  <c r="L186" i="16" s="1"/>
  <c r="C188" i="16"/>
  <c r="C8" i="37"/>
  <c r="C7" i="37"/>
  <c r="E11" i="52"/>
  <c r="E22" i="52" s="1"/>
  <c r="E10" i="52"/>
  <c r="E21" i="52" s="1"/>
  <c r="C173" i="16"/>
  <c r="B360" i="16"/>
  <c r="B361" i="16"/>
  <c r="B359" i="16"/>
  <c r="C267" i="16"/>
  <c r="C268" i="16"/>
  <c r="C259" i="16"/>
  <c r="C260" i="16"/>
  <c r="C263" i="16"/>
  <c r="C264" i="16"/>
  <c r="C265" i="16"/>
  <c r="C271" i="16"/>
  <c r="C272" i="16"/>
  <c r="C273" i="16"/>
  <c r="C254" i="16"/>
  <c r="E31" i="52" l="1"/>
  <c r="E9" i="80"/>
  <c r="E9" i="82"/>
  <c r="E32" i="52"/>
  <c r="E10" i="82"/>
  <c r="E10" i="80"/>
  <c r="L361" i="16"/>
  <c r="M361" i="16"/>
  <c r="N361" i="16"/>
  <c r="O361" i="16"/>
  <c r="M271" i="16"/>
  <c r="L271" i="16"/>
  <c r="O271" i="16"/>
  <c r="N271" i="16"/>
  <c r="L360" i="16"/>
  <c r="N360" i="16"/>
  <c r="M360" i="16"/>
  <c r="O360" i="16"/>
  <c r="M359" i="16"/>
  <c r="N359" i="16"/>
  <c r="L359" i="16"/>
  <c r="O359" i="16"/>
  <c r="L188" i="16"/>
  <c r="O188" i="16"/>
  <c r="M188" i="16"/>
  <c r="N188" i="16"/>
  <c r="O186" i="16"/>
  <c r="N186" i="16"/>
  <c r="M186" i="16"/>
  <c r="L187" i="16"/>
  <c r="O187" i="16"/>
  <c r="M187" i="16"/>
  <c r="N187" i="16"/>
  <c r="I173" i="16"/>
  <c r="F173" i="16"/>
  <c r="G173" i="16"/>
  <c r="H173" i="16"/>
  <c r="C190" i="16"/>
  <c r="C189" i="16"/>
  <c r="C165" i="16"/>
  <c r="C161" i="16"/>
  <c r="C183" i="16"/>
  <c r="C175" i="16"/>
  <c r="C179" i="16"/>
  <c r="C182" i="16"/>
  <c r="C178" i="16"/>
  <c r="C174" i="16"/>
  <c r="C169" i="16"/>
  <c r="C181" i="16"/>
  <c r="C177" i="16"/>
  <c r="C180" i="16"/>
  <c r="C176" i="16"/>
  <c r="C168" i="16"/>
  <c r="C164" i="16"/>
  <c r="C160" i="16"/>
  <c r="C167" i="16"/>
  <c r="C163" i="16"/>
  <c r="C170" i="16"/>
  <c r="C166" i="16"/>
  <c r="C162" i="16"/>
  <c r="C275" i="16"/>
  <c r="C266" i="16"/>
  <c r="C262" i="16"/>
  <c r="C270" i="16"/>
  <c r="C253" i="16"/>
  <c r="C274" i="16"/>
  <c r="C276" i="16"/>
  <c r="C261" i="16"/>
  <c r="C269" i="16"/>
  <c r="C258" i="16"/>
  <c r="C255" i="16"/>
  <c r="C252" i="16"/>
  <c r="C214" i="16"/>
  <c r="C205" i="16"/>
  <c r="C206" i="16"/>
  <c r="C209" i="16"/>
  <c r="C211" i="16"/>
  <c r="C213" i="16"/>
  <c r="C203" i="16"/>
  <c r="C31" i="38"/>
  <c r="D31" i="38"/>
  <c r="E31" i="38"/>
  <c r="F31" i="38"/>
  <c r="G31" i="38"/>
  <c r="C32" i="38"/>
  <c r="D32" i="38"/>
  <c r="E32" i="38"/>
  <c r="F32" i="38"/>
  <c r="G32" i="38"/>
  <c r="C20" i="38"/>
  <c r="D20" i="38"/>
  <c r="E20" i="38"/>
  <c r="F20" i="38"/>
  <c r="G20" i="38"/>
  <c r="C21" i="38"/>
  <c r="D21" i="38"/>
  <c r="E21" i="38"/>
  <c r="F21" i="38"/>
  <c r="G21" i="38"/>
  <c r="C9" i="38"/>
  <c r="D9" i="38"/>
  <c r="E9" i="38"/>
  <c r="F9" i="38"/>
  <c r="G9" i="38"/>
  <c r="C10" i="38"/>
  <c r="D10" i="38"/>
  <c r="E10" i="38"/>
  <c r="F10" i="38"/>
  <c r="G10" i="38"/>
  <c r="E11" i="38" l="1"/>
  <c r="E12" i="38" s="1"/>
  <c r="D33" i="38"/>
  <c r="D34" i="38" s="1"/>
  <c r="M258" i="16"/>
  <c r="L258" i="16"/>
  <c r="N258" i="16"/>
  <c r="O258" i="16"/>
  <c r="M266" i="16"/>
  <c r="O266" i="16"/>
  <c r="L266" i="16"/>
  <c r="N266" i="16"/>
  <c r="F22" i="38"/>
  <c r="F23" i="38" s="1"/>
  <c r="F33" i="38"/>
  <c r="F34" i="38" s="1"/>
  <c r="L190" i="16"/>
  <c r="O190" i="16"/>
  <c r="M190" i="16"/>
  <c r="N190" i="16"/>
  <c r="L189" i="16"/>
  <c r="O189" i="16"/>
  <c r="N189" i="16"/>
  <c r="M189" i="16"/>
  <c r="H211" i="16"/>
  <c r="G211" i="16"/>
  <c r="F211" i="16"/>
  <c r="I211" i="16"/>
  <c r="H209" i="16"/>
  <c r="G209" i="16"/>
  <c r="F209" i="16"/>
  <c r="I209" i="16"/>
  <c r="H213" i="16"/>
  <c r="G213" i="16"/>
  <c r="F213" i="16"/>
  <c r="I213" i="16"/>
  <c r="H205" i="16"/>
  <c r="G205" i="16"/>
  <c r="F205" i="16"/>
  <c r="I205" i="16"/>
  <c r="F203" i="16"/>
  <c r="H203" i="16"/>
  <c r="I203" i="16"/>
  <c r="G203" i="16"/>
  <c r="H178" i="16"/>
  <c r="I178" i="16"/>
  <c r="G178" i="16"/>
  <c r="F178" i="16"/>
  <c r="H181" i="16"/>
  <c r="I181" i="16"/>
  <c r="F181" i="16"/>
  <c r="G181" i="16"/>
  <c r="H182" i="16"/>
  <c r="I182" i="16"/>
  <c r="G182" i="16"/>
  <c r="F182" i="16"/>
  <c r="H176" i="16"/>
  <c r="I176" i="16"/>
  <c r="F176" i="16"/>
  <c r="G176" i="16"/>
  <c r="H179" i="16"/>
  <c r="I179" i="16"/>
  <c r="F179" i="16"/>
  <c r="G179" i="16"/>
  <c r="H180" i="16"/>
  <c r="I180" i="16"/>
  <c r="G180" i="16"/>
  <c r="F180" i="16"/>
  <c r="H174" i="16"/>
  <c r="I174" i="16"/>
  <c r="F174" i="16"/>
  <c r="G174" i="16"/>
  <c r="H175" i="16"/>
  <c r="I175" i="16"/>
  <c r="F175" i="16"/>
  <c r="G175" i="16"/>
  <c r="H177" i="16"/>
  <c r="I177" i="16"/>
  <c r="F177" i="16"/>
  <c r="G177" i="16"/>
  <c r="H163" i="16"/>
  <c r="F163" i="16"/>
  <c r="I163" i="16"/>
  <c r="G163" i="16"/>
  <c r="H161" i="16"/>
  <c r="F161" i="16"/>
  <c r="I161" i="16"/>
  <c r="G161" i="16"/>
  <c r="H162" i="16"/>
  <c r="G162" i="16"/>
  <c r="I162" i="16"/>
  <c r="F162" i="16"/>
  <c r="H167" i="16"/>
  <c r="F167" i="16"/>
  <c r="G167" i="16"/>
  <c r="I167" i="16"/>
  <c r="H166" i="16"/>
  <c r="I166" i="16"/>
  <c r="F166" i="16"/>
  <c r="G166" i="16"/>
  <c r="H168" i="16"/>
  <c r="I168" i="16"/>
  <c r="F168" i="16"/>
  <c r="G168" i="16"/>
  <c r="H169" i="16"/>
  <c r="F169" i="16"/>
  <c r="G169" i="16"/>
  <c r="I169" i="16"/>
  <c r="H164" i="16"/>
  <c r="G164" i="16"/>
  <c r="I164" i="16"/>
  <c r="F164" i="16"/>
  <c r="H165" i="16"/>
  <c r="F165" i="16"/>
  <c r="G165" i="16"/>
  <c r="I165" i="16"/>
  <c r="I160" i="16"/>
  <c r="G160" i="16"/>
  <c r="H160" i="16"/>
  <c r="F160" i="16"/>
  <c r="G22" i="38"/>
  <c r="G23" i="38" s="1"/>
  <c r="C22" i="38"/>
  <c r="C23" i="38" s="1"/>
  <c r="G33" i="38"/>
  <c r="G34" i="38" s="1"/>
  <c r="C33" i="38"/>
  <c r="C34" i="38" s="1"/>
  <c r="F11" i="38"/>
  <c r="F12" i="38" s="1"/>
  <c r="D22" i="38"/>
  <c r="D23" i="38" s="1"/>
  <c r="D11" i="38"/>
  <c r="D12" i="38" s="1"/>
  <c r="E33" i="38"/>
  <c r="E34" i="38" s="1"/>
  <c r="E22" i="38"/>
  <c r="E23" i="38" s="1"/>
  <c r="G11" i="38"/>
  <c r="G12" i="38" s="1"/>
  <c r="C11" i="38"/>
  <c r="C12" i="38" s="1"/>
  <c r="C224" i="16"/>
  <c r="C223" i="16"/>
  <c r="C220" i="16"/>
  <c r="C217" i="16"/>
  <c r="C219" i="16"/>
  <c r="C226" i="16"/>
  <c r="C222" i="16"/>
  <c r="C218" i="16"/>
  <c r="C225" i="16"/>
  <c r="C221" i="16"/>
  <c r="C208" i="16"/>
  <c r="C204" i="16"/>
  <c r="C212" i="16"/>
  <c r="C210" i="16"/>
  <c r="C207" i="16"/>
  <c r="L284" i="16" l="1"/>
  <c r="M284" i="16"/>
  <c r="C361" i="16"/>
  <c r="C360" i="16"/>
  <c r="L362" i="16"/>
  <c r="L365" i="16" s="1"/>
  <c r="M362" i="16"/>
  <c r="M365" i="16" s="1"/>
  <c r="G37" i="38"/>
  <c r="F37" i="38"/>
  <c r="D37" i="38"/>
  <c r="C359" i="16"/>
  <c r="H207" i="16"/>
  <c r="G207" i="16"/>
  <c r="F207" i="16"/>
  <c r="I207" i="16"/>
  <c r="H219" i="16"/>
  <c r="F219" i="16"/>
  <c r="G219" i="16"/>
  <c r="I219" i="16"/>
  <c r="H223" i="16"/>
  <c r="F223" i="16"/>
  <c r="G223" i="16"/>
  <c r="I223" i="16"/>
  <c r="H221" i="16"/>
  <c r="I221" i="16"/>
  <c r="G221" i="16"/>
  <c r="F221" i="16"/>
  <c r="H225" i="16"/>
  <c r="I225" i="16"/>
  <c r="G225" i="16"/>
  <c r="F225" i="16"/>
  <c r="H217" i="16"/>
  <c r="I217" i="16"/>
  <c r="G217" i="16"/>
  <c r="F217" i="16"/>
  <c r="C37" i="38"/>
  <c r="E37" i="38"/>
  <c r="A36" i="53"/>
  <c r="A25" i="53"/>
  <c r="A14" i="53"/>
  <c r="F19" i="52"/>
  <c r="A3" i="53"/>
  <c r="F6" i="52"/>
  <c r="H48" i="53" l="1"/>
  <c r="G28" i="52" s="1"/>
  <c r="D48" i="53"/>
  <c r="G17" i="52" s="1"/>
  <c r="G48" i="53"/>
  <c r="I48" i="53"/>
  <c r="G36" i="52" s="1"/>
  <c r="C48" i="53"/>
  <c r="E48" i="53"/>
  <c r="F48" i="53"/>
  <c r="G26" i="52" s="1"/>
  <c r="J48" i="53"/>
  <c r="G37" i="52" s="1"/>
  <c r="F17" i="37"/>
  <c r="F21" i="52"/>
  <c r="F22" i="52"/>
  <c r="G29" i="52" l="1"/>
  <c r="H29" i="52" s="1"/>
  <c r="G16" i="52"/>
  <c r="G27" i="52"/>
  <c r="H28" i="52"/>
  <c r="H37" i="52"/>
  <c r="A37" i="52" s="1"/>
  <c r="H36" i="52"/>
  <c r="A36" i="52" s="1"/>
  <c r="A28" i="52"/>
  <c r="B48" i="53"/>
  <c r="G15" i="52" s="1"/>
  <c r="G22" i="52"/>
  <c r="G19" i="52"/>
  <c r="G21" i="52"/>
  <c r="B1" i="16"/>
  <c r="H20" i="27"/>
  <c r="I20" i="27"/>
  <c r="J20" i="27"/>
  <c r="K20" i="27"/>
  <c r="H21" i="27"/>
  <c r="H22" i="27" s="1"/>
  <c r="H23" i="27" s="1"/>
  <c r="I21" i="27"/>
  <c r="J21" i="27"/>
  <c r="J22" i="27" s="1"/>
  <c r="J23" i="27" s="1"/>
  <c r="K21" i="27"/>
  <c r="I9" i="27"/>
  <c r="J9" i="27"/>
  <c r="K9" i="27"/>
  <c r="I10" i="27"/>
  <c r="J10" i="27"/>
  <c r="K10" i="27"/>
  <c r="J31" i="27"/>
  <c r="K31" i="27"/>
  <c r="J32" i="27"/>
  <c r="K32" i="27"/>
  <c r="J42" i="27"/>
  <c r="K42" i="27"/>
  <c r="J43" i="27"/>
  <c r="K43" i="27"/>
  <c r="G18" i="52" l="1"/>
  <c r="H27" i="52"/>
  <c r="A27" i="52" s="1"/>
  <c r="H26" i="52"/>
  <c r="A26" i="52" s="1"/>
  <c r="B12" i="16"/>
  <c r="H12" i="16" s="1"/>
  <c r="B13" i="16"/>
  <c r="G13" i="16" s="1"/>
  <c r="B14" i="16"/>
  <c r="I22" i="27"/>
  <c r="I23" i="27" s="1"/>
  <c r="B19" i="16"/>
  <c r="B20" i="16"/>
  <c r="K22" i="27"/>
  <c r="K23" i="27" s="1"/>
  <c r="K33" i="27"/>
  <c r="K34" i="27" s="1"/>
  <c r="J44" i="27"/>
  <c r="J45" i="27" s="1"/>
  <c r="J11" i="27"/>
  <c r="J12" i="27" s="1"/>
  <c r="J33" i="27"/>
  <c r="J34" i="27" s="1"/>
  <c r="I11" i="27"/>
  <c r="I12" i="27" s="1"/>
  <c r="K44" i="27"/>
  <c r="K45" i="27" s="1"/>
  <c r="K11" i="27"/>
  <c r="K12" i="27" s="1"/>
  <c r="I12" i="16" l="1"/>
  <c r="J12" i="16"/>
  <c r="K12" i="16"/>
  <c r="G12" i="16"/>
  <c r="F12" i="16"/>
  <c r="F13" i="16"/>
  <c r="J13" i="16"/>
  <c r="I13" i="16"/>
  <c r="H13" i="16"/>
  <c r="H16" i="16" s="1"/>
  <c r="K13" i="16"/>
  <c r="F20" i="16"/>
  <c r="H20" i="16"/>
  <c r="K20" i="16"/>
  <c r="I20" i="16"/>
  <c r="J20" i="16"/>
  <c r="G20" i="16"/>
  <c r="J19" i="16"/>
  <c r="I19" i="16"/>
  <c r="I21" i="16" s="1"/>
  <c r="F19" i="16"/>
  <c r="K19" i="16"/>
  <c r="G19" i="16"/>
  <c r="H19" i="16"/>
  <c r="H14" i="16"/>
  <c r="J14" i="16"/>
  <c r="I14" i="16"/>
  <c r="F14" i="16"/>
  <c r="K14" i="16"/>
  <c r="G14" i="16"/>
  <c r="B27" i="52"/>
  <c r="B37" i="52"/>
  <c r="H18" i="52"/>
  <c r="H15" i="52"/>
  <c r="A15" i="52" s="1"/>
  <c r="H16" i="52"/>
  <c r="H17" i="52"/>
  <c r="K16" i="16" l="1"/>
  <c r="J16" i="16"/>
  <c r="C13" i="16"/>
  <c r="C15" i="16"/>
  <c r="C14" i="16"/>
  <c r="F16" i="16"/>
  <c r="I16" i="16"/>
  <c r="G16" i="16"/>
  <c r="F21" i="16"/>
  <c r="K21" i="16"/>
  <c r="H21" i="16"/>
  <c r="G21" i="16"/>
  <c r="J21" i="16"/>
  <c r="C19" i="16"/>
  <c r="C20" i="16"/>
  <c r="C12" i="16"/>
  <c r="A16" i="52"/>
  <c r="A18" i="52"/>
  <c r="A17" i="52"/>
  <c r="B16" i="52"/>
  <c r="H365" i="16"/>
  <c r="G365" i="16"/>
  <c r="F365" i="16"/>
  <c r="I365" i="16"/>
  <c r="A36" i="27"/>
  <c r="A25" i="27"/>
  <c r="A3" i="27"/>
  <c r="A14" i="27"/>
  <c r="P15" i="16" l="1"/>
  <c r="Q15" i="16"/>
  <c r="N15" i="16"/>
  <c r="R15" i="16"/>
  <c r="O15" i="16"/>
  <c r="S15" i="16"/>
  <c r="B5" i="16"/>
  <c r="H5" i="16" s="1"/>
  <c r="B8" i="16"/>
  <c r="J8" i="16" s="1"/>
  <c r="B7" i="16"/>
  <c r="G7" i="16" s="1"/>
  <c r="B6" i="16"/>
  <c r="F6" i="16" s="1"/>
  <c r="C5" i="16"/>
  <c r="C6" i="16"/>
  <c r="C7" i="16"/>
  <c r="C8" i="16"/>
  <c r="P19" i="16"/>
  <c r="S19" i="16"/>
  <c r="N19" i="16"/>
  <c r="R19" i="16"/>
  <c r="O19" i="16"/>
  <c r="Q19" i="16"/>
  <c r="R20" i="16"/>
  <c r="O20" i="16"/>
  <c r="P20" i="16"/>
  <c r="P21" i="16" s="1"/>
  <c r="S20" i="16"/>
  <c r="Q20" i="16"/>
  <c r="N20" i="16"/>
  <c r="Q14" i="16"/>
  <c r="P14" i="16"/>
  <c r="N14" i="16"/>
  <c r="O14" i="16"/>
  <c r="S14" i="16"/>
  <c r="R14" i="16"/>
  <c r="Q13" i="16"/>
  <c r="N13" i="16"/>
  <c r="P13" i="16"/>
  <c r="S13" i="16"/>
  <c r="O13" i="16"/>
  <c r="R13" i="16"/>
  <c r="R12" i="16"/>
  <c r="R16" i="16" s="1"/>
  <c r="N12" i="16"/>
  <c r="N16" i="16" s="1"/>
  <c r="S12" i="16"/>
  <c r="S16" i="16" s="1"/>
  <c r="Q12" i="16"/>
  <c r="Q16" i="16" s="1"/>
  <c r="P12" i="16"/>
  <c r="P16" i="16" s="1"/>
  <c r="O12" i="16"/>
  <c r="O16" i="16" s="1"/>
  <c r="J5" i="16" l="1"/>
  <c r="I5" i="16"/>
  <c r="K5" i="16"/>
  <c r="G5" i="16"/>
  <c r="F5" i="16"/>
  <c r="G6" i="16"/>
  <c r="K8" i="16"/>
  <c r="I8" i="16"/>
  <c r="G8" i="16"/>
  <c r="H8" i="16"/>
  <c r="F8" i="16"/>
  <c r="R21" i="16"/>
  <c r="H7" i="16"/>
  <c r="I7" i="16"/>
  <c r="F7" i="16"/>
  <c r="J7" i="16"/>
  <c r="K7" i="16"/>
  <c r="J6" i="16"/>
  <c r="Q21" i="16"/>
  <c r="K6" i="16"/>
  <c r="H6" i="16"/>
  <c r="I6" i="16"/>
  <c r="S6" i="16"/>
  <c r="N6" i="16"/>
  <c r="Q6" i="16"/>
  <c r="P6" i="16"/>
  <c r="O6" i="16"/>
  <c r="R6" i="16"/>
  <c r="N21" i="16"/>
  <c r="R5" i="16"/>
  <c r="N5" i="16"/>
  <c r="S5" i="16"/>
  <c r="P5" i="16"/>
  <c r="Q5" i="16"/>
  <c r="O5" i="16"/>
  <c r="S21" i="16"/>
  <c r="O8" i="16"/>
  <c r="Q8" i="16"/>
  <c r="R8" i="16"/>
  <c r="N8" i="16"/>
  <c r="P8" i="16"/>
  <c r="S8" i="16"/>
  <c r="O21" i="16"/>
  <c r="Q7" i="16"/>
  <c r="S7" i="16"/>
  <c r="P7" i="16"/>
  <c r="O7" i="16"/>
  <c r="R7" i="16"/>
  <c r="N7" i="16"/>
  <c r="B32" i="38"/>
  <c r="B31" i="38"/>
  <c r="B21" i="38"/>
  <c r="B20" i="38"/>
  <c r="B10" i="38"/>
  <c r="B9" i="38"/>
  <c r="F9" i="16" l="1"/>
  <c r="I9" i="16"/>
  <c r="J9" i="16"/>
  <c r="K9" i="16"/>
  <c r="G9" i="16"/>
  <c r="H9" i="16"/>
  <c r="S9" i="16"/>
  <c r="Q9" i="16"/>
  <c r="R9" i="16"/>
  <c r="P9" i="16"/>
  <c r="N9" i="16"/>
  <c r="O9" i="16"/>
  <c r="B33" i="38"/>
  <c r="B34" i="38" s="1"/>
  <c r="B22" i="38"/>
  <c r="B23" i="38" s="1"/>
  <c r="B11" i="38"/>
  <c r="B12" i="38" s="1"/>
  <c r="B37" i="38" l="1"/>
  <c r="F19" i="37" l="1"/>
  <c r="F15" i="37"/>
  <c r="F13" i="37"/>
  <c r="C42" i="27" l="1"/>
  <c r="D42" i="27"/>
  <c r="E42" i="27"/>
  <c r="F42" i="27"/>
  <c r="G42" i="27"/>
  <c r="H42" i="27"/>
  <c r="I42" i="27"/>
  <c r="C43" i="27"/>
  <c r="D43" i="27"/>
  <c r="E43" i="27"/>
  <c r="F43" i="27"/>
  <c r="G43" i="27"/>
  <c r="H43" i="27"/>
  <c r="I43" i="27"/>
  <c r="C31" i="27"/>
  <c r="D31" i="27"/>
  <c r="E31" i="27"/>
  <c r="F31" i="27"/>
  <c r="G31" i="27"/>
  <c r="H31" i="27"/>
  <c r="I31" i="27"/>
  <c r="C32" i="27"/>
  <c r="D32" i="27"/>
  <c r="E32" i="27"/>
  <c r="F32" i="27"/>
  <c r="G32" i="27"/>
  <c r="H32" i="27"/>
  <c r="I32" i="27"/>
  <c r="C20" i="27"/>
  <c r="D20" i="27"/>
  <c r="E20" i="27"/>
  <c r="F20" i="27"/>
  <c r="G20" i="27"/>
  <c r="C21" i="27"/>
  <c r="D21" i="27"/>
  <c r="E21" i="27"/>
  <c r="F21" i="27"/>
  <c r="G21" i="27"/>
  <c r="C9" i="27"/>
  <c r="D9" i="27"/>
  <c r="E9" i="27"/>
  <c r="F9" i="27"/>
  <c r="G9" i="27"/>
  <c r="H9" i="27"/>
  <c r="C10" i="27"/>
  <c r="D10" i="27"/>
  <c r="E10" i="27"/>
  <c r="F10" i="27"/>
  <c r="G10" i="27"/>
  <c r="H10" i="27"/>
  <c r="B43" i="27"/>
  <c r="B42" i="27"/>
  <c r="B32" i="27"/>
  <c r="B31" i="27"/>
  <c r="B21" i="27"/>
  <c r="B20" i="27"/>
  <c r="B12" i="27" l="1"/>
  <c r="F33" i="27"/>
  <c r="F34" i="27" s="1"/>
  <c r="I44" i="27"/>
  <c r="I45" i="27" s="1"/>
  <c r="G33" i="27"/>
  <c r="G34" i="27" s="1"/>
  <c r="E22" i="27"/>
  <c r="F11" i="27"/>
  <c r="F12" i="27" s="1"/>
  <c r="C11" i="27"/>
  <c r="C12" i="27" s="1"/>
  <c r="D44" i="27"/>
  <c r="D45" i="27" s="1"/>
  <c r="E44" i="27"/>
  <c r="E45" i="27" s="1"/>
  <c r="C33" i="27"/>
  <c r="C34" i="27" s="1"/>
  <c r="B33" i="27"/>
  <c r="B34" i="27" s="1"/>
  <c r="D22" i="27"/>
  <c r="B44" i="27"/>
  <c r="B45" i="27" s="1"/>
  <c r="H44" i="27"/>
  <c r="H45" i="27" s="1"/>
  <c r="E11" i="27"/>
  <c r="E12" i="27" s="1"/>
  <c r="G11" i="27"/>
  <c r="G12" i="27" s="1"/>
  <c r="G44" i="27"/>
  <c r="G45" i="27" s="1"/>
  <c r="C44" i="27"/>
  <c r="C45" i="27" s="1"/>
  <c r="F44" i="27"/>
  <c r="F45" i="27" s="1"/>
  <c r="I33" i="27"/>
  <c r="I34" i="27" s="1"/>
  <c r="E33" i="27"/>
  <c r="E34" i="27" s="1"/>
  <c r="H33" i="27"/>
  <c r="H34" i="27" s="1"/>
  <c r="D33" i="27"/>
  <c r="D34" i="27" s="1"/>
  <c r="G22" i="27"/>
  <c r="C22" i="27"/>
  <c r="B22" i="27"/>
  <c r="F22" i="27"/>
  <c r="H11" i="27"/>
  <c r="H12" i="27" s="1"/>
  <c r="D11" i="27"/>
  <c r="D12" i="27" s="1"/>
  <c r="F6" i="23"/>
  <c r="H48" i="27" l="1"/>
  <c r="I48" i="27"/>
  <c r="K48" i="27"/>
  <c r="J48" i="27"/>
  <c r="G23" i="27"/>
  <c r="G48" i="27" s="1"/>
  <c r="D23" i="27"/>
  <c r="D48" i="27" s="1"/>
  <c r="E23" i="27"/>
  <c r="E48" i="27" s="1"/>
  <c r="F23" i="27"/>
  <c r="F48" i="27" s="1"/>
  <c r="B23" i="27"/>
  <c r="B48" i="27" s="1"/>
  <c r="F15" i="23" s="1"/>
  <c r="C23" i="27"/>
  <c r="C48" i="27" s="1"/>
  <c r="F16" i="23" s="1"/>
  <c r="F30" i="23" l="1"/>
  <c r="F25" i="23"/>
  <c r="F31" i="23"/>
  <c r="F24" i="23"/>
  <c r="G13" i="37" s="1"/>
  <c r="F26" i="23"/>
  <c r="I26" i="23" s="1"/>
  <c r="F28" i="23"/>
  <c r="F29" i="23"/>
  <c r="F27" i="23"/>
  <c r="I27" i="23" s="1"/>
  <c r="I16" i="23"/>
  <c r="G16" i="23"/>
  <c r="A16" i="23" s="1"/>
  <c r="H15" i="37" l="1"/>
  <c r="G15" i="23"/>
  <c r="A15" i="23" s="1"/>
  <c r="I15" i="23"/>
  <c r="J15" i="23" s="1"/>
  <c r="B15" i="23" s="1"/>
  <c r="I30" i="23"/>
  <c r="I25" i="23"/>
  <c r="G14" i="37"/>
  <c r="I28" i="23"/>
  <c r="B27" i="16" l="1"/>
  <c r="B26" i="16"/>
  <c r="H13" i="37"/>
  <c r="H17" i="37"/>
  <c r="J16" i="23"/>
  <c r="B16" i="23" s="1"/>
  <c r="C26" i="16" s="1"/>
  <c r="G31" i="23"/>
  <c r="A31" i="23" s="1"/>
  <c r="G27" i="23"/>
  <c r="A27" i="23" s="1"/>
  <c r="G25" i="23"/>
  <c r="A25" i="23" s="1"/>
  <c r="G28" i="23"/>
  <c r="A28" i="23" s="1"/>
  <c r="I24" i="23"/>
  <c r="G24" i="23"/>
  <c r="A24" i="23" s="1"/>
  <c r="G26" i="23"/>
  <c r="A26" i="23" s="1"/>
  <c r="G29" i="23"/>
  <c r="A29" i="23" s="1"/>
  <c r="G30" i="23"/>
  <c r="A30" i="23" s="1"/>
  <c r="I29" i="23"/>
  <c r="I31" i="23"/>
  <c r="C27" i="16" l="1"/>
  <c r="N27" i="16" s="1"/>
  <c r="J26" i="16"/>
  <c r="F26" i="16"/>
  <c r="K26" i="16"/>
  <c r="I26" i="16"/>
  <c r="H26" i="16"/>
  <c r="G26" i="16"/>
  <c r="B34" i="16"/>
  <c r="B38" i="16"/>
  <c r="B32" i="16"/>
  <c r="B33" i="16"/>
  <c r="B35" i="16"/>
  <c r="B31" i="16"/>
  <c r="B36" i="16"/>
  <c r="B37" i="16"/>
  <c r="J27" i="16"/>
  <c r="I27" i="16"/>
  <c r="G27" i="16"/>
  <c r="H27" i="16"/>
  <c r="F27" i="16"/>
  <c r="K27" i="16"/>
  <c r="N26" i="16"/>
  <c r="P26" i="16"/>
  <c r="R26" i="16"/>
  <c r="Q26" i="16"/>
  <c r="O26" i="16"/>
  <c r="S26" i="16"/>
  <c r="H19" i="37"/>
  <c r="I19" i="37" s="1"/>
  <c r="A19" i="37" s="1"/>
  <c r="J26" i="23"/>
  <c r="B26" i="23" s="1"/>
  <c r="J24" i="23"/>
  <c r="B24" i="23" s="1"/>
  <c r="J28" i="23"/>
  <c r="B28" i="23" s="1"/>
  <c r="J25" i="23"/>
  <c r="B25" i="23" s="1"/>
  <c r="J30" i="23"/>
  <c r="B30" i="23" s="1"/>
  <c r="J27" i="23"/>
  <c r="B27" i="23" s="1"/>
  <c r="J29" i="23"/>
  <c r="B29" i="23" s="1"/>
  <c r="J31" i="23"/>
  <c r="B31" i="23" s="1"/>
  <c r="I13" i="37" l="1"/>
  <c r="A13" i="37" s="1"/>
  <c r="B58" i="16" s="1"/>
  <c r="S27" i="16"/>
  <c r="S28" i="16" s="1"/>
  <c r="R27" i="16"/>
  <c r="R28" i="16" s="1"/>
  <c r="O27" i="16"/>
  <c r="O28" i="16" s="1"/>
  <c r="Q27" i="16"/>
  <c r="Q28" i="16" s="1"/>
  <c r="P27" i="16"/>
  <c r="P28" i="16" s="1"/>
  <c r="G28" i="16"/>
  <c r="F28" i="16"/>
  <c r="F31" i="16"/>
  <c r="K31" i="16"/>
  <c r="I31" i="16"/>
  <c r="J31" i="16"/>
  <c r="G31" i="16"/>
  <c r="H31" i="16"/>
  <c r="G38" i="16"/>
  <c r="H38" i="16"/>
  <c r="K38" i="16"/>
  <c r="I38" i="16"/>
  <c r="F38" i="16"/>
  <c r="J38" i="16"/>
  <c r="I28" i="16"/>
  <c r="H35" i="16"/>
  <c r="F35" i="16"/>
  <c r="G35" i="16"/>
  <c r="K35" i="16"/>
  <c r="I35" i="16"/>
  <c r="J35" i="16"/>
  <c r="G34" i="16"/>
  <c r="F34" i="16"/>
  <c r="J34" i="16"/>
  <c r="H34" i="16"/>
  <c r="K34" i="16"/>
  <c r="I34" i="16"/>
  <c r="K28" i="16"/>
  <c r="H37" i="16"/>
  <c r="F37" i="16"/>
  <c r="K37" i="16"/>
  <c r="J37" i="16"/>
  <c r="I37" i="16"/>
  <c r="G37" i="16"/>
  <c r="H33" i="16"/>
  <c r="K33" i="16"/>
  <c r="F33" i="16"/>
  <c r="J33" i="16"/>
  <c r="G33" i="16"/>
  <c r="I33" i="16"/>
  <c r="J36" i="16"/>
  <c r="I36" i="16"/>
  <c r="F36" i="16"/>
  <c r="K36" i="16"/>
  <c r="H36" i="16"/>
  <c r="G36" i="16"/>
  <c r="F32" i="16"/>
  <c r="K32" i="16"/>
  <c r="I32" i="16"/>
  <c r="H32" i="16"/>
  <c r="G32" i="16"/>
  <c r="J32" i="16"/>
  <c r="H28" i="16"/>
  <c r="J28" i="16"/>
  <c r="I15" i="37"/>
  <c r="A15" i="37" s="1"/>
  <c r="I17" i="37"/>
  <c r="A17" i="37" s="1"/>
  <c r="N28" i="16"/>
  <c r="C34" i="16"/>
  <c r="C38" i="16"/>
  <c r="C35" i="16"/>
  <c r="C31" i="16"/>
  <c r="C32" i="16"/>
  <c r="C36" i="16"/>
  <c r="C33" i="16"/>
  <c r="C37" i="16"/>
  <c r="C9" i="32"/>
  <c r="C8" i="32"/>
  <c r="C2" i="32"/>
  <c r="C7" i="32"/>
  <c r="B64" i="16" l="1"/>
  <c r="B63" i="16"/>
  <c r="G39" i="16"/>
  <c r="O60" i="16" s="1"/>
  <c r="F39" i="16"/>
  <c r="N60" i="16" s="1"/>
  <c r="J39" i="16"/>
  <c r="R60" i="16" s="1"/>
  <c r="I39" i="16"/>
  <c r="Q60" i="16" s="1"/>
  <c r="H39" i="16"/>
  <c r="P60" i="16" s="1"/>
  <c r="K39" i="16"/>
  <c r="S60" i="16" s="1"/>
  <c r="B62" i="16"/>
  <c r="I58" i="16"/>
  <c r="I59" i="16" s="1"/>
  <c r="H58" i="16"/>
  <c r="H59" i="16" s="1"/>
  <c r="J58" i="16"/>
  <c r="J59" i="16" s="1"/>
  <c r="K58" i="16"/>
  <c r="K59" i="16" s="1"/>
  <c r="G58" i="16"/>
  <c r="G59" i="16" s="1"/>
  <c r="F58" i="16"/>
  <c r="F59" i="16" s="1"/>
  <c r="S33" i="16"/>
  <c r="N33" i="16"/>
  <c r="R33" i="16"/>
  <c r="Q33" i="16"/>
  <c r="O33" i="16"/>
  <c r="P33" i="16"/>
  <c r="N36" i="16"/>
  <c r="P36" i="16"/>
  <c r="R36" i="16"/>
  <c r="O36" i="16"/>
  <c r="S36" i="16"/>
  <c r="Q36" i="16"/>
  <c r="S37" i="16"/>
  <c r="N37" i="16"/>
  <c r="Q37" i="16"/>
  <c r="R37" i="16"/>
  <c r="P37" i="16"/>
  <c r="O37" i="16"/>
  <c r="R31" i="16"/>
  <c r="P31" i="16"/>
  <c r="N31" i="16"/>
  <c r="S31" i="16"/>
  <c r="Q31" i="16"/>
  <c r="O31" i="16"/>
  <c r="Q35" i="16"/>
  <c r="O35" i="16"/>
  <c r="P35" i="16"/>
  <c r="S35" i="16"/>
  <c r="N35" i="16"/>
  <c r="R35" i="16"/>
  <c r="O38" i="16"/>
  <c r="R38" i="16"/>
  <c r="P38" i="16"/>
  <c r="N38" i="16"/>
  <c r="Q38" i="16"/>
  <c r="S38" i="16"/>
  <c r="R32" i="16"/>
  <c r="P32" i="16"/>
  <c r="O32" i="16"/>
  <c r="S32" i="16"/>
  <c r="N32" i="16"/>
  <c r="Q32" i="16"/>
  <c r="O34" i="16"/>
  <c r="S34" i="16"/>
  <c r="R34" i="16"/>
  <c r="N34" i="16"/>
  <c r="Q34" i="16"/>
  <c r="P34" i="16"/>
  <c r="C4" i="32"/>
  <c r="C3" i="32"/>
  <c r="C5" i="32"/>
  <c r="C6" i="32"/>
  <c r="C10" i="32"/>
  <c r="I63" i="16" l="1"/>
  <c r="F63" i="16"/>
  <c r="K63" i="16"/>
  <c r="G63" i="16"/>
  <c r="H63" i="16"/>
  <c r="J63" i="16"/>
  <c r="H64" i="16"/>
  <c r="G64" i="16"/>
  <c r="I64" i="16"/>
  <c r="K64" i="16"/>
  <c r="J64" i="16"/>
  <c r="F64" i="16"/>
  <c r="I62" i="16"/>
  <c r="H62" i="16"/>
  <c r="J62" i="16"/>
  <c r="K62" i="16"/>
  <c r="G62" i="16"/>
  <c r="F62" i="16"/>
  <c r="O39" i="16"/>
  <c r="O61" i="16" s="1"/>
  <c r="P39" i="16"/>
  <c r="P61" i="16" s="1"/>
  <c r="Q39" i="16"/>
  <c r="Q61" i="16" s="1"/>
  <c r="R39" i="16"/>
  <c r="R61" i="16" s="1"/>
  <c r="S39" i="16"/>
  <c r="S61" i="16" s="1"/>
  <c r="N39" i="16"/>
  <c r="N61" i="16" s="1"/>
  <c r="C1" i="32"/>
  <c r="G65" i="16" l="1"/>
  <c r="O62" i="16" s="1"/>
  <c r="O64" i="16" s="1"/>
  <c r="F65" i="16"/>
  <c r="N62" i="16" s="1"/>
  <c r="N64" i="16" s="1"/>
  <c r="I65" i="16"/>
  <c r="Q62" i="16" s="1"/>
  <c r="Q64" i="16" s="1"/>
  <c r="H65" i="16"/>
  <c r="P62" i="16" s="1"/>
  <c r="P64" i="16" s="1"/>
  <c r="K65" i="16"/>
  <c r="S62" i="16" s="1"/>
  <c r="S64" i="16" s="1"/>
  <c r="J65" i="16"/>
  <c r="R62" i="16" s="1"/>
  <c r="R64" i="16" s="1"/>
  <c r="O284" i="16" l="1"/>
  <c r="N284" i="16"/>
  <c r="N362" i="16"/>
  <c r="N365" i="16" s="1"/>
  <c r="O362" i="16"/>
  <c r="O365" i="16" s="1"/>
  <c r="F281" i="16"/>
  <c r="G281" i="16"/>
  <c r="H281" i="16"/>
  <c r="I281" i="16"/>
</calcChain>
</file>

<file path=xl/sharedStrings.xml><?xml version="1.0" encoding="utf-8"?>
<sst xmlns="http://schemas.openxmlformats.org/spreadsheetml/2006/main" count="1057" uniqueCount="187">
  <si>
    <t>Competition</t>
  </si>
  <si>
    <t>Age Group</t>
  </si>
  <si>
    <t>Compeditors</t>
  </si>
  <si>
    <t>Figures</t>
  </si>
  <si>
    <t>DD</t>
  </si>
  <si>
    <t>Total</t>
  </si>
  <si>
    <t>Draw</t>
  </si>
  <si>
    <t>Number</t>
  </si>
  <si>
    <t>Max</t>
  </si>
  <si>
    <t>Min</t>
  </si>
  <si>
    <t>Average</t>
  </si>
  <si>
    <t>Score</t>
  </si>
  <si>
    <t>Penalty</t>
  </si>
  <si>
    <t>TOTAL SCORE</t>
  </si>
  <si>
    <t>Judge 1</t>
  </si>
  <si>
    <t>Judge 2</t>
  </si>
  <si>
    <t>Judge 3</t>
  </si>
  <si>
    <t>Judge 4</t>
  </si>
  <si>
    <t>Judge 5</t>
  </si>
  <si>
    <t>Date:</t>
  </si>
  <si>
    <t>Position</t>
  </si>
  <si>
    <t>Solo Score</t>
  </si>
  <si>
    <t>Final Score</t>
  </si>
  <si>
    <t>Final Position</t>
  </si>
  <si>
    <t>Angie Hoyle</t>
  </si>
  <si>
    <t>Heather Botha</t>
  </si>
  <si>
    <t>Kate Javis</t>
  </si>
  <si>
    <t>Jessica MacCarthy</t>
  </si>
  <si>
    <t>Naila Essack</t>
  </si>
  <si>
    <t>Ntokozoo Khoza</t>
  </si>
  <si>
    <t>Taylin De Fleuriot</t>
  </si>
  <si>
    <t>Julia Copper</t>
  </si>
  <si>
    <t>Megan Pillay</t>
  </si>
  <si>
    <t>Execution</t>
  </si>
  <si>
    <t>Artistic Impression</t>
  </si>
  <si>
    <t>Difficulty</t>
  </si>
  <si>
    <t>Figures Scores</t>
  </si>
  <si>
    <t>Solo</t>
  </si>
  <si>
    <t>Duet</t>
  </si>
  <si>
    <t>DUET RESULTS</t>
  </si>
  <si>
    <t>SSA SYNCHRONISED SWIMMING CHAMPIONSHIPS 2015</t>
  </si>
  <si>
    <t>FAITH ADONIS</t>
  </si>
  <si>
    <t>NADINE VAARLAND</t>
  </si>
  <si>
    <t>LAUREN PAULSE</t>
  </si>
  <si>
    <t>SHANAE WILLIAMS</t>
  </si>
  <si>
    <t>TEAL MUIRHEAD</t>
  </si>
  <si>
    <t>LORI NIEMAND</t>
  </si>
  <si>
    <t>AMMAARAH SEEDAT</t>
  </si>
  <si>
    <t>DREW ANDERSON</t>
  </si>
  <si>
    <t>KAYLA BOTHA</t>
  </si>
  <si>
    <t>CLARISSA JOHNSTON</t>
  </si>
  <si>
    <t>JESSICA HAYES-HILL</t>
  </si>
  <si>
    <t>EMMA MANNERS-WOOD</t>
  </si>
  <si>
    <t>LAURA STRUGNELL</t>
  </si>
  <si>
    <t>NOZIBUSISO NKOSI</t>
  </si>
  <si>
    <t>NTOKOZO VILAKAZI</t>
  </si>
  <si>
    <t>SBAHLE MAKHAYE</t>
  </si>
  <si>
    <t>COURTNEY MUSSON</t>
  </si>
  <si>
    <t>KERRY BETH NORDEN</t>
  </si>
  <si>
    <t>MIEKE STRUWIG</t>
  </si>
  <si>
    <t>Penatly</t>
  </si>
  <si>
    <t>Rank</t>
  </si>
  <si>
    <t>Name</t>
  </si>
  <si>
    <t>Province</t>
  </si>
  <si>
    <t>Duets 13-15</t>
  </si>
  <si>
    <t>Duets 13 - 15</t>
  </si>
  <si>
    <t>Duets 16 - 18</t>
  </si>
  <si>
    <t>FIGURES RESULTS</t>
  </si>
  <si>
    <t>Combo</t>
  </si>
  <si>
    <t>SOLO RESULTS</t>
  </si>
  <si>
    <t>13-15 Solo</t>
  </si>
  <si>
    <t>16-18 Solo</t>
  </si>
  <si>
    <t>Open Free Solo</t>
  </si>
  <si>
    <t>Open Tech Solo</t>
  </si>
  <si>
    <t>Teams - Open</t>
  </si>
  <si>
    <t xml:space="preserve">Open Duets </t>
  </si>
  <si>
    <t>Artistic</t>
  </si>
  <si>
    <t>Open Team</t>
  </si>
  <si>
    <t>Points</t>
  </si>
  <si>
    <t>Junior</t>
  </si>
  <si>
    <t>Senior</t>
  </si>
  <si>
    <t xml:space="preserve">Open Free Duets </t>
  </si>
  <si>
    <t>Open Tech Duets</t>
  </si>
  <si>
    <t>Junior Team</t>
  </si>
  <si>
    <t>Total Points</t>
  </si>
  <si>
    <t>10 U</t>
  </si>
  <si>
    <t>CLUB</t>
  </si>
  <si>
    <t>SSA Reg</t>
  </si>
  <si>
    <t>Trio</t>
  </si>
  <si>
    <t>Isabella Ingram</t>
  </si>
  <si>
    <t>Cygnus</t>
  </si>
  <si>
    <t>X</t>
  </si>
  <si>
    <t>Kate Wessels</t>
  </si>
  <si>
    <t>DGC</t>
  </si>
  <si>
    <t>12 U</t>
  </si>
  <si>
    <t>Siphokazi Myende</t>
  </si>
  <si>
    <t>Umlazi Sharks</t>
  </si>
  <si>
    <t>C</t>
  </si>
  <si>
    <t>Philiswe Kunene</t>
  </si>
  <si>
    <t>x</t>
  </si>
  <si>
    <t>Kenza Turner</t>
  </si>
  <si>
    <t>Synchronacity</t>
  </si>
  <si>
    <t>Cheleigh Watson</t>
  </si>
  <si>
    <t>Lauren Fisher</t>
  </si>
  <si>
    <t>Xera Vegter-Maharajh</t>
  </si>
  <si>
    <t>Tuks</t>
  </si>
  <si>
    <t>Kathleen Jarvis</t>
  </si>
  <si>
    <t>A</t>
  </si>
  <si>
    <t>13 - 15</t>
  </si>
  <si>
    <t>Jessica McCarthy</t>
  </si>
  <si>
    <t>x(duet only)</t>
  </si>
  <si>
    <t>Jenna Cole</t>
  </si>
  <si>
    <t>Dina Simpson</t>
  </si>
  <si>
    <t>B</t>
  </si>
  <si>
    <t>Kaela Simpson</t>
  </si>
  <si>
    <t>Ntokozo Phungula</t>
  </si>
  <si>
    <t>D</t>
  </si>
  <si>
    <t>Thando Cele</t>
  </si>
  <si>
    <t>Asanda Nhlamgulela</t>
  </si>
  <si>
    <t>Amy Wilkes</t>
  </si>
  <si>
    <t>Farryn Behenna</t>
  </si>
  <si>
    <t>Thando Maseko</t>
  </si>
  <si>
    <t>16 - 18</t>
  </si>
  <si>
    <t>Kellyn Davies</t>
  </si>
  <si>
    <t>Gabriella Pretorious</t>
  </si>
  <si>
    <t>Kingfisher</t>
  </si>
  <si>
    <t>Aurelia Pretorious</t>
  </si>
  <si>
    <t>Ashton Weir</t>
  </si>
  <si>
    <t>Chloe van Dyk</t>
  </si>
  <si>
    <t>Emily de Kock</t>
  </si>
  <si>
    <t>Jenna du Preez</t>
  </si>
  <si>
    <t>Isabella Pretorious</t>
  </si>
  <si>
    <t>Samantha Theron</t>
  </si>
  <si>
    <t>SSA SYNCHRONISED LEVEL 1 MARCH 2016</t>
  </si>
  <si>
    <t>Club</t>
  </si>
  <si>
    <t>U10</t>
  </si>
  <si>
    <t xml:space="preserve">EVENT </t>
  </si>
  <si>
    <t>Ballet Leg</t>
  </si>
  <si>
    <t>Front pike somersault</t>
  </si>
  <si>
    <t>Blossom</t>
  </si>
  <si>
    <t>Back tuck somersualt</t>
  </si>
  <si>
    <t>U12</t>
  </si>
  <si>
    <t>Barracuda</t>
  </si>
  <si>
    <t>Porpoise</t>
  </si>
  <si>
    <t>Kip</t>
  </si>
  <si>
    <t>Sailboat</t>
  </si>
  <si>
    <t>Front Pike Sommersault</t>
  </si>
  <si>
    <t>Back tuck somersault</t>
  </si>
  <si>
    <t>EVENT</t>
  </si>
  <si>
    <t>Novice U10</t>
  </si>
  <si>
    <t>NOVICE U10</t>
  </si>
  <si>
    <t>NOVICE U12</t>
  </si>
  <si>
    <t>NOVICE 13-15</t>
  </si>
  <si>
    <t>Tukies</t>
  </si>
  <si>
    <t>Age</t>
  </si>
  <si>
    <t>Novice U12</t>
  </si>
  <si>
    <t>Level 1</t>
  </si>
  <si>
    <t>Novice 13 - 15</t>
  </si>
  <si>
    <t>Novice All Ages</t>
  </si>
  <si>
    <t>SSA Level 1</t>
  </si>
  <si>
    <t>12 - 13 March 2016</t>
  </si>
  <si>
    <t>Event</t>
  </si>
  <si>
    <t>13 -15</t>
  </si>
  <si>
    <t>U10 / U12</t>
  </si>
  <si>
    <t>16 -18</t>
  </si>
  <si>
    <t>NOVICE</t>
  </si>
  <si>
    <t>LEVEL 1</t>
  </si>
  <si>
    <t>Solos</t>
  </si>
  <si>
    <t>FIGURES</t>
  </si>
  <si>
    <t>SOLOS</t>
  </si>
  <si>
    <t>Novice 13 -1 5</t>
  </si>
  <si>
    <t>Duets</t>
  </si>
  <si>
    <t>Trios</t>
  </si>
  <si>
    <t>Julia Cropper</t>
  </si>
  <si>
    <t>Solos U10 &amp; U12</t>
  </si>
  <si>
    <t>Front walkover</t>
  </si>
  <si>
    <t>Somersub</t>
  </si>
  <si>
    <t>Tower</t>
  </si>
  <si>
    <t>Duets U12</t>
  </si>
  <si>
    <t>Trios U12</t>
  </si>
  <si>
    <t>Trios 13 -15</t>
  </si>
  <si>
    <t>TOTAL CLUB POINTS</t>
  </si>
  <si>
    <t>Trios 13 - 15</t>
  </si>
  <si>
    <t>U10 AND U12</t>
  </si>
  <si>
    <t>13 - 18</t>
  </si>
  <si>
    <t>U12 and 13 - 15</t>
  </si>
  <si>
    <t>Emma Theron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</si>
</sst>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2"/>
      <color theme="1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9" fillId="0" borderId="0"/>
    <xf numFmtId="0" fontId="4" fillId="0" borderId="0">
      <alignment vertical="center"/>
    </xf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0" xfId="0" applyNumberFormat="1" applyFont="1" applyAlignment="1" applyProtection="1">
      <alignment horizontal="right"/>
    </xf>
    <xf numFmtId="164" fontId="0" fillId="0" borderId="0" xfId="0" applyNumberFormat="1"/>
    <xf numFmtId="0" fontId="6" fillId="0" borderId="0" xfId="0" applyFont="1"/>
    <xf numFmtId="0" fontId="0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4" borderId="1" xfId="0" applyFont="1" applyFill="1" applyBorder="1"/>
    <xf numFmtId="0" fontId="0" fillId="2" borderId="1" xfId="0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2" fillId="0" borderId="0" xfId="0" applyFont="1" applyProtection="1"/>
    <xf numFmtId="0" fontId="12" fillId="0" borderId="0" xfId="0" applyFont="1"/>
    <xf numFmtId="0" fontId="1" fillId="3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Protection="1"/>
    <xf numFmtId="0" fontId="0" fillId="0" borderId="1" xfId="0" applyBorder="1" applyProtection="1"/>
    <xf numFmtId="166" fontId="0" fillId="2" borderId="1" xfId="0" applyNumberFormat="1" applyFill="1" applyBorder="1" applyProtection="1">
      <protection locked="0"/>
    </xf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6" fontId="0" fillId="2" borderId="1" xfId="0" applyNumberFormat="1" applyFill="1" applyBorder="1" applyProtection="1"/>
    <xf numFmtId="164" fontId="1" fillId="0" borderId="1" xfId="0" applyNumberFormat="1" applyFont="1" applyBorder="1" applyAlignment="1" applyProtection="1">
      <alignment horizontal="right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5" borderId="1" xfId="0" applyFont="1" applyFill="1" applyBorder="1" applyProtection="1"/>
    <xf numFmtId="0" fontId="0" fillId="5" borderId="1" xfId="0" applyFill="1" applyBorder="1" applyProtection="1"/>
    <xf numFmtId="0" fontId="11" fillId="2" borderId="1" xfId="0" applyFont="1" applyFill="1" applyBorder="1"/>
    <xf numFmtId="0" fontId="0" fillId="0" borderId="0" xfId="0" applyProtection="1">
      <protection locked="0"/>
    </xf>
    <xf numFmtId="0" fontId="11" fillId="4" borderId="1" xfId="0" applyFont="1" applyFill="1" applyBorder="1" applyAlignment="1">
      <alignment horizontal="center"/>
    </xf>
    <xf numFmtId="165" fontId="1" fillId="0" borderId="1" xfId="0" applyNumberFormat="1" applyFont="1" applyBorder="1" applyAlignment="1" applyProtection="1">
      <alignment horizontal="right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0" xfId="0" applyFont="1" applyFill="1" applyAlignment="1">
      <alignment horizontal="left"/>
    </xf>
    <xf numFmtId="0" fontId="0" fillId="0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</cellXfs>
  <cellStyles count="7">
    <cellStyle name="Normal" xfId="0" builtinId="0"/>
    <cellStyle name="Normal 2" xfId="1"/>
    <cellStyle name="Normal 2 2" xfId="4"/>
    <cellStyle name="Normal 3" xfId="2"/>
    <cellStyle name="Normal 3 2" xfId="5"/>
    <cellStyle name="Normal 4" xfId="3"/>
    <cellStyle name="Normal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/>
  </sheetViews>
  <sheetFormatPr defaultRowHeight="14.5" x14ac:dyDescent="0.35"/>
  <cols>
    <col min="1" max="1" width="34.26953125" customWidth="1"/>
    <col min="2" max="2" width="20.26953125" customWidth="1"/>
    <col min="3" max="3" width="6.54296875" style="49" bestFit="1" customWidth="1"/>
    <col min="4" max="4" width="10.81640625" bestFit="1" customWidth="1"/>
  </cols>
  <sheetData>
    <row r="1" spans="1:16" ht="15.5" x14ac:dyDescent="0.35">
      <c r="A1" s="25" t="s">
        <v>133</v>
      </c>
      <c r="B1" s="25"/>
      <c r="C1" s="25"/>
      <c r="D1" s="25"/>
      <c r="E1" s="25"/>
      <c r="F1" s="25"/>
      <c r="G1" s="25"/>
      <c r="H1" s="25"/>
      <c r="N1" s="33"/>
      <c r="O1" s="33"/>
      <c r="P1" s="33"/>
    </row>
    <row r="2" spans="1:16" ht="15.5" x14ac:dyDescent="0.35">
      <c r="A2" s="25"/>
      <c r="B2" s="25"/>
      <c r="C2" s="25"/>
      <c r="D2" s="25"/>
      <c r="E2" s="25"/>
      <c r="F2" s="25"/>
      <c r="G2" s="25"/>
      <c r="H2" s="25"/>
    </row>
    <row r="3" spans="1:16" x14ac:dyDescent="0.35">
      <c r="A3" s="34" t="s">
        <v>85</v>
      </c>
      <c r="B3" s="34" t="s">
        <v>86</v>
      </c>
      <c r="C3" s="51" t="s">
        <v>154</v>
      </c>
      <c r="D3" s="34" t="s">
        <v>87</v>
      </c>
      <c r="E3" s="35" t="s">
        <v>3</v>
      </c>
      <c r="F3" s="35" t="s">
        <v>37</v>
      </c>
      <c r="G3" s="35" t="s">
        <v>38</v>
      </c>
      <c r="H3" s="35" t="s">
        <v>88</v>
      </c>
    </row>
    <row r="4" spans="1:16" x14ac:dyDescent="0.35">
      <c r="A4" s="17" t="s">
        <v>89</v>
      </c>
      <c r="B4" s="17" t="s">
        <v>90</v>
      </c>
      <c r="C4" s="52" t="s">
        <v>135</v>
      </c>
      <c r="D4" s="17"/>
      <c r="E4" s="18" t="s">
        <v>91</v>
      </c>
      <c r="F4" s="18" t="s">
        <v>91</v>
      </c>
      <c r="G4" s="18"/>
      <c r="H4" s="17"/>
    </row>
    <row r="5" spans="1:16" x14ac:dyDescent="0.35">
      <c r="A5" s="17" t="s">
        <v>92</v>
      </c>
      <c r="B5" s="17" t="s">
        <v>93</v>
      </c>
      <c r="C5" s="52" t="s">
        <v>135</v>
      </c>
      <c r="D5" s="17"/>
      <c r="E5" s="18" t="s">
        <v>91</v>
      </c>
      <c r="F5" s="18" t="s">
        <v>91</v>
      </c>
      <c r="G5" s="18"/>
      <c r="H5" s="18" t="s">
        <v>91</v>
      </c>
    </row>
    <row r="6" spans="1:16" x14ac:dyDescent="0.35">
      <c r="A6" s="34" t="s">
        <v>94</v>
      </c>
      <c r="E6" s="33"/>
      <c r="F6" s="33"/>
      <c r="G6" s="33"/>
      <c r="I6" s="26"/>
    </row>
    <row r="7" spans="1:16" ht="15.75" customHeight="1" x14ac:dyDescent="0.35">
      <c r="A7" s="17" t="s">
        <v>95</v>
      </c>
      <c r="B7" s="17" t="s">
        <v>96</v>
      </c>
      <c r="C7" s="52" t="s">
        <v>141</v>
      </c>
      <c r="D7" s="17"/>
      <c r="E7" s="18" t="s">
        <v>91</v>
      </c>
      <c r="F7" s="18" t="s">
        <v>91</v>
      </c>
      <c r="G7" s="18" t="s">
        <v>97</v>
      </c>
      <c r="H7" s="17"/>
      <c r="I7" s="26"/>
    </row>
    <row r="8" spans="1:16" ht="15" customHeight="1" x14ac:dyDescent="0.35">
      <c r="A8" s="17" t="s">
        <v>98</v>
      </c>
      <c r="B8" s="17" t="s">
        <v>96</v>
      </c>
      <c r="C8" s="52" t="s">
        <v>141</v>
      </c>
      <c r="D8" s="17"/>
      <c r="E8" s="18" t="s">
        <v>99</v>
      </c>
      <c r="F8" s="18" t="s">
        <v>99</v>
      </c>
      <c r="G8" s="18" t="s">
        <v>97</v>
      </c>
      <c r="H8" s="17"/>
      <c r="I8" s="26"/>
    </row>
    <row r="9" spans="1:16" x14ac:dyDescent="0.35">
      <c r="A9" s="17" t="s">
        <v>100</v>
      </c>
      <c r="B9" s="17" t="s">
        <v>101</v>
      </c>
      <c r="C9" s="52" t="s">
        <v>141</v>
      </c>
      <c r="D9" s="17"/>
      <c r="E9" s="18" t="s">
        <v>91</v>
      </c>
      <c r="F9" s="18" t="s">
        <v>91</v>
      </c>
      <c r="G9" s="18"/>
      <c r="H9" s="18" t="s">
        <v>91</v>
      </c>
      <c r="I9" s="26"/>
    </row>
    <row r="10" spans="1:16" x14ac:dyDescent="0.35">
      <c r="A10" s="17" t="s">
        <v>102</v>
      </c>
      <c r="B10" s="17" t="s">
        <v>101</v>
      </c>
      <c r="C10" s="52" t="s">
        <v>141</v>
      </c>
      <c r="D10" s="17"/>
      <c r="E10" s="18" t="s">
        <v>99</v>
      </c>
      <c r="F10" s="18" t="s">
        <v>91</v>
      </c>
      <c r="G10" s="18"/>
      <c r="H10" s="18" t="s">
        <v>91</v>
      </c>
      <c r="I10" s="26"/>
    </row>
    <row r="11" spans="1:16" ht="15.75" customHeight="1" x14ac:dyDescent="0.35">
      <c r="A11" s="17" t="s">
        <v>103</v>
      </c>
      <c r="B11" s="17" t="s">
        <v>101</v>
      </c>
      <c r="C11" s="52" t="s">
        <v>141</v>
      </c>
      <c r="D11" s="17"/>
      <c r="E11" s="18" t="s">
        <v>91</v>
      </c>
      <c r="F11" s="18" t="s">
        <v>91</v>
      </c>
      <c r="G11" s="18"/>
      <c r="H11" s="18" t="s">
        <v>91</v>
      </c>
      <c r="I11" s="26"/>
    </row>
    <row r="12" spans="1:16" ht="15.75" customHeight="1" x14ac:dyDescent="0.35">
      <c r="A12" s="17" t="s">
        <v>104</v>
      </c>
      <c r="B12" s="17" t="s">
        <v>105</v>
      </c>
      <c r="C12" s="52" t="s">
        <v>141</v>
      </c>
      <c r="D12" s="17"/>
      <c r="E12" s="18" t="s">
        <v>91</v>
      </c>
      <c r="F12" s="18" t="s">
        <v>91</v>
      </c>
      <c r="G12" s="18"/>
      <c r="H12" s="17"/>
      <c r="I12" s="26"/>
    </row>
    <row r="13" spans="1:16" x14ac:dyDescent="0.35">
      <c r="A13" s="17" t="s">
        <v>106</v>
      </c>
      <c r="B13" s="17" t="s">
        <v>93</v>
      </c>
      <c r="C13" s="52" t="s">
        <v>141</v>
      </c>
      <c r="D13" s="17"/>
      <c r="E13" s="18" t="s">
        <v>91</v>
      </c>
      <c r="F13" s="18" t="s">
        <v>91</v>
      </c>
      <c r="G13" s="18" t="s">
        <v>107</v>
      </c>
      <c r="H13" s="18" t="s">
        <v>91</v>
      </c>
      <c r="I13" s="26"/>
    </row>
    <row r="14" spans="1:16" x14ac:dyDescent="0.35">
      <c r="A14" s="17" t="s">
        <v>173</v>
      </c>
      <c r="B14" s="17" t="s">
        <v>93</v>
      </c>
      <c r="C14" s="52" t="s">
        <v>141</v>
      </c>
      <c r="D14" s="17"/>
      <c r="E14" s="18" t="s">
        <v>91</v>
      </c>
      <c r="F14" s="18" t="s">
        <v>91</v>
      </c>
      <c r="G14" s="18"/>
      <c r="H14" s="18" t="s">
        <v>91</v>
      </c>
      <c r="I14" s="26"/>
    </row>
    <row r="15" spans="1:16" x14ac:dyDescent="0.35">
      <c r="E15" s="33"/>
      <c r="F15" s="33"/>
      <c r="G15" s="33"/>
      <c r="I15" s="26"/>
    </row>
    <row r="16" spans="1:16" x14ac:dyDescent="0.35">
      <c r="A16" s="34" t="s">
        <v>108</v>
      </c>
      <c r="E16" s="33"/>
      <c r="F16" s="33"/>
      <c r="G16" s="33"/>
      <c r="I16" s="26"/>
    </row>
    <row r="17" spans="1:9" x14ac:dyDescent="0.35">
      <c r="A17" s="36" t="s">
        <v>109</v>
      </c>
      <c r="B17" s="17" t="s">
        <v>93</v>
      </c>
      <c r="C17" s="52" t="s">
        <v>162</v>
      </c>
      <c r="D17" s="17"/>
      <c r="E17" s="18" t="s">
        <v>99</v>
      </c>
      <c r="F17" s="18" t="s">
        <v>99</v>
      </c>
      <c r="G17" s="18" t="s">
        <v>107</v>
      </c>
      <c r="H17" s="17"/>
      <c r="I17" s="26"/>
    </row>
    <row r="18" spans="1:9" x14ac:dyDescent="0.35">
      <c r="A18" s="37" t="s">
        <v>106</v>
      </c>
      <c r="B18" s="37" t="s">
        <v>93</v>
      </c>
      <c r="C18" s="55"/>
      <c r="D18" s="37"/>
      <c r="E18" s="38" t="s">
        <v>110</v>
      </c>
      <c r="F18" s="39"/>
      <c r="G18" s="39"/>
      <c r="H18" s="37"/>
      <c r="I18" s="26"/>
    </row>
    <row r="19" spans="1:9" x14ac:dyDescent="0.35">
      <c r="A19" s="36" t="s">
        <v>111</v>
      </c>
      <c r="B19" s="17" t="s">
        <v>93</v>
      </c>
      <c r="C19" s="52" t="s">
        <v>108</v>
      </c>
      <c r="D19" s="17"/>
      <c r="E19" s="18" t="s">
        <v>99</v>
      </c>
      <c r="F19" s="18" t="s">
        <v>99</v>
      </c>
      <c r="G19" s="18"/>
      <c r="H19" s="17" t="s">
        <v>107</v>
      </c>
      <c r="I19" s="26"/>
    </row>
    <row r="20" spans="1:9" x14ac:dyDescent="0.35">
      <c r="A20" s="36" t="s">
        <v>112</v>
      </c>
      <c r="B20" s="17" t="s">
        <v>93</v>
      </c>
      <c r="C20" s="52" t="s">
        <v>108</v>
      </c>
      <c r="D20" s="17"/>
      <c r="E20" s="18" t="s">
        <v>99</v>
      </c>
      <c r="F20" s="18"/>
      <c r="G20" s="18" t="s">
        <v>113</v>
      </c>
      <c r="H20" s="17" t="s">
        <v>107</v>
      </c>
      <c r="I20" s="26"/>
    </row>
    <row r="21" spans="1:9" x14ac:dyDescent="0.35">
      <c r="A21" s="36" t="s">
        <v>114</v>
      </c>
      <c r="B21" s="17" t="s">
        <v>93</v>
      </c>
      <c r="C21" s="52" t="s">
        <v>108</v>
      </c>
      <c r="D21" s="17"/>
      <c r="E21" s="18" t="s">
        <v>99</v>
      </c>
      <c r="F21" s="18"/>
      <c r="G21" s="18" t="s">
        <v>113</v>
      </c>
      <c r="H21" s="17" t="s">
        <v>107</v>
      </c>
      <c r="I21" s="26"/>
    </row>
    <row r="22" spans="1:9" x14ac:dyDescent="0.35">
      <c r="A22" s="36" t="s">
        <v>115</v>
      </c>
      <c r="B22" s="17" t="s">
        <v>96</v>
      </c>
      <c r="C22" s="52" t="s">
        <v>108</v>
      </c>
      <c r="D22" s="17"/>
      <c r="E22" s="18" t="s">
        <v>99</v>
      </c>
      <c r="F22" s="18" t="s">
        <v>99</v>
      </c>
      <c r="G22" s="18" t="s">
        <v>116</v>
      </c>
      <c r="H22" s="17" t="s">
        <v>113</v>
      </c>
      <c r="I22" s="26"/>
    </row>
    <row r="23" spans="1:9" x14ac:dyDescent="0.35">
      <c r="A23" s="36" t="s">
        <v>117</v>
      </c>
      <c r="B23" s="17" t="s">
        <v>96</v>
      </c>
      <c r="C23" s="52" t="s">
        <v>108</v>
      </c>
      <c r="D23" s="17"/>
      <c r="E23" s="18" t="s">
        <v>99</v>
      </c>
      <c r="F23" s="18" t="s">
        <v>99</v>
      </c>
      <c r="G23" s="18"/>
      <c r="H23" s="17" t="s">
        <v>113</v>
      </c>
      <c r="I23" s="26"/>
    </row>
    <row r="24" spans="1:9" x14ac:dyDescent="0.35">
      <c r="A24" s="36" t="s">
        <v>118</v>
      </c>
      <c r="B24" s="17" t="s">
        <v>96</v>
      </c>
      <c r="C24" s="52" t="s">
        <v>108</v>
      </c>
      <c r="D24" s="17"/>
      <c r="E24" s="18" t="s">
        <v>99</v>
      </c>
      <c r="F24" s="18" t="s">
        <v>99</v>
      </c>
      <c r="G24" s="18" t="s">
        <v>116</v>
      </c>
      <c r="H24" s="17" t="s">
        <v>113</v>
      </c>
      <c r="I24" s="26"/>
    </row>
    <row r="25" spans="1:9" x14ac:dyDescent="0.35">
      <c r="A25" s="17" t="s">
        <v>119</v>
      </c>
      <c r="B25" s="17" t="s">
        <v>101</v>
      </c>
      <c r="C25" s="52" t="s">
        <v>108</v>
      </c>
      <c r="D25" s="17"/>
      <c r="E25" s="18" t="s">
        <v>91</v>
      </c>
      <c r="F25" s="18" t="s">
        <v>91</v>
      </c>
      <c r="G25" s="18"/>
      <c r="H25" s="18" t="s">
        <v>91</v>
      </c>
      <c r="I25" s="26"/>
    </row>
    <row r="26" spans="1:9" x14ac:dyDescent="0.35">
      <c r="A26" s="17" t="s">
        <v>120</v>
      </c>
      <c r="B26" s="17" t="s">
        <v>101</v>
      </c>
      <c r="C26" s="52" t="s">
        <v>108</v>
      </c>
      <c r="D26" s="17"/>
      <c r="E26" s="18" t="s">
        <v>91</v>
      </c>
      <c r="F26" s="18" t="s">
        <v>91</v>
      </c>
      <c r="G26" s="18"/>
      <c r="H26" s="40" t="s">
        <v>91</v>
      </c>
      <c r="I26" s="26"/>
    </row>
    <row r="27" spans="1:9" x14ac:dyDescent="0.35">
      <c r="A27" s="17" t="s">
        <v>121</v>
      </c>
      <c r="B27" s="17" t="s">
        <v>101</v>
      </c>
      <c r="C27" s="52" t="s">
        <v>108</v>
      </c>
      <c r="D27" s="17"/>
      <c r="E27" s="18" t="s">
        <v>91</v>
      </c>
      <c r="F27" s="18" t="s">
        <v>91</v>
      </c>
      <c r="G27" s="18"/>
      <c r="H27" s="18" t="s">
        <v>91</v>
      </c>
      <c r="I27" s="26"/>
    </row>
    <row r="28" spans="1:9" x14ac:dyDescent="0.35">
      <c r="E28" s="33"/>
      <c r="F28" s="33"/>
      <c r="G28" s="33"/>
      <c r="I28" s="26"/>
    </row>
    <row r="29" spans="1:9" x14ac:dyDescent="0.35">
      <c r="A29" s="34" t="s">
        <v>122</v>
      </c>
      <c r="E29" s="33"/>
      <c r="F29" s="33"/>
      <c r="G29" s="33"/>
      <c r="I29" s="26"/>
    </row>
    <row r="30" spans="1:9" x14ac:dyDescent="0.35">
      <c r="A30" s="17" t="s">
        <v>123</v>
      </c>
      <c r="B30" s="17" t="s">
        <v>101</v>
      </c>
      <c r="C30" s="52" t="s">
        <v>122</v>
      </c>
      <c r="D30" s="17"/>
      <c r="E30" s="18" t="s">
        <v>91</v>
      </c>
      <c r="F30" s="18" t="s">
        <v>91</v>
      </c>
      <c r="G30" s="18"/>
      <c r="H30" s="17"/>
      <c r="I30" s="26"/>
    </row>
    <row r="31" spans="1:9" x14ac:dyDescent="0.35">
      <c r="E31" s="33"/>
      <c r="F31" s="33"/>
      <c r="G31" s="33"/>
      <c r="I31" s="26"/>
    </row>
    <row r="32" spans="1:9" x14ac:dyDescent="0.35">
      <c r="A32" s="32" t="s">
        <v>150</v>
      </c>
      <c r="B32" s="17"/>
      <c r="C32" s="52"/>
      <c r="D32" s="17"/>
      <c r="E32" s="18"/>
      <c r="F32" s="18"/>
      <c r="G32" s="18"/>
      <c r="H32" s="17"/>
      <c r="I32" s="26"/>
    </row>
    <row r="33" spans="1:17" x14ac:dyDescent="0.35">
      <c r="A33" s="17" t="s">
        <v>124</v>
      </c>
      <c r="B33" s="17" t="s">
        <v>125</v>
      </c>
      <c r="C33" s="52" t="s">
        <v>135</v>
      </c>
      <c r="D33" s="17"/>
      <c r="E33" s="18"/>
      <c r="F33" s="18"/>
      <c r="G33" s="18"/>
      <c r="H33" s="17"/>
    </row>
    <row r="34" spans="1:17" x14ac:dyDescent="0.35">
      <c r="A34" s="17" t="s">
        <v>126</v>
      </c>
      <c r="B34" s="17" t="s">
        <v>125</v>
      </c>
      <c r="C34" s="52" t="s">
        <v>135</v>
      </c>
      <c r="D34" s="17"/>
      <c r="E34" s="18"/>
      <c r="F34" s="18"/>
      <c r="G34" s="18"/>
      <c r="H34" s="17"/>
    </row>
    <row r="35" spans="1:17" x14ac:dyDescent="0.35">
      <c r="A35" s="17" t="s">
        <v>127</v>
      </c>
      <c r="B35" s="17" t="s">
        <v>153</v>
      </c>
      <c r="C35" s="52" t="s">
        <v>135</v>
      </c>
      <c r="D35" s="17"/>
      <c r="E35" s="18"/>
      <c r="F35" s="18"/>
      <c r="G35" s="18"/>
      <c r="H35" s="17"/>
    </row>
    <row r="36" spans="1:17" x14ac:dyDescent="0.35">
      <c r="A36" s="17" t="s">
        <v>128</v>
      </c>
      <c r="B36" s="17" t="s">
        <v>153</v>
      </c>
      <c r="C36" s="52" t="s">
        <v>135</v>
      </c>
      <c r="D36" s="17"/>
      <c r="E36" s="18"/>
      <c r="F36" s="18"/>
      <c r="G36" s="18"/>
      <c r="H36" s="17"/>
    </row>
    <row r="37" spans="1:17" x14ac:dyDescent="0.35">
      <c r="A37" s="17"/>
      <c r="B37" s="17" t="s">
        <v>153</v>
      </c>
      <c r="C37" s="52" t="s">
        <v>135</v>
      </c>
      <c r="D37" s="17"/>
      <c r="E37" s="18"/>
      <c r="F37" s="18"/>
      <c r="G37" s="18"/>
      <c r="H37" s="17"/>
    </row>
    <row r="38" spans="1:17" x14ac:dyDescent="0.35">
      <c r="A38" s="32" t="s">
        <v>151</v>
      </c>
      <c r="B38" s="17"/>
      <c r="C38" s="52"/>
      <c r="D38" s="17"/>
      <c r="E38" s="18"/>
      <c r="F38" s="18"/>
      <c r="G38" s="18"/>
      <c r="H38" s="17"/>
      <c r="I38" s="26"/>
    </row>
    <row r="39" spans="1:17" x14ac:dyDescent="0.35">
      <c r="A39" s="17" t="s">
        <v>129</v>
      </c>
      <c r="B39" s="17" t="s">
        <v>153</v>
      </c>
      <c r="C39" s="52" t="s">
        <v>141</v>
      </c>
      <c r="D39" s="17"/>
      <c r="E39" s="18"/>
      <c r="F39" s="18"/>
      <c r="G39" s="18"/>
      <c r="H39" s="17"/>
    </row>
    <row r="40" spans="1:17" x14ac:dyDescent="0.35">
      <c r="A40" s="17" t="s">
        <v>130</v>
      </c>
      <c r="B40" s="17" t="s">
        <v>153</v>
      </c>
      <c r="C40" s="52" t="s">
        <v>141</v>
      </c>
      <c r="D40" s="17"/>
      <c r="E40" s="18"/>
      <c r="F40" s="18"/>
      <c r="G40" s="18"/>
      <c r="H40" s="17"/>
    </row>
    <row r="41" spans="1:17" x14ac:dyDescent="0.35">
      <c r="A41" s="17" t="s">
        <v>127</v>
      </c>
      <c r="B41" s="17" t="s">
        <v>153</v>
      </c>
      <c r="C41" s="52" t="s">
        <v>141</v>
      </c>
      <c r="D41" s="17"/>
      <c r="E41" s="18"/>
      <c r="F41" s="18"/>
      <c r="G41" s="18"/>
      <c r="H41" s="17"/>
    </row>
    <row r="42" spans="1:17" x14ac:dyDescent="0.35">
      <c r="A42" s="17"/>
      <c r="B42" s="17"/>
      <c r="C42" s="52"/>
      <c r="D42" s="17"/>
      <c r="E42" s="18"/>
      <c r="F42" s="18"/>
      <c r="G42" s="18"/>
      <c r="H42" s="17"/>
    </row>
    <row r="43" spans="1:17" x14ac:dyDescent="0.35">
      <c r="A43" s="32" t="s">
        <v>152</v>
      </c>
      <c r="B43" s="17"/>
      <c r="C43" s="52"/>
      <c r="D43" s="17"/>
      <c r="E43" s="18"/>
      <c r="F43" s="18"/>
      <c r="G43" s="18"/>
      <c r="H43" s="17"/>
    </row>
    <row r="44" spans="1:17" x14ac:dyDescent="0.35">
      <c r="A44" s="17" t="s">
        <v>131</v>
      </c>
      <c r="B44" s="17" t="s">
        <v>153</v>
      </c>
      <c r="C44" s="52" t="s">
        <v>108</v>
      </c>
      <c r="D44" s="17"/>
      <c r="E44" s="18"/>
      <c r="F44" s="18"/>
      <c r="G44" s="18"/>
      <c r="H44" s="17"/>
    </row>
    <row r="45" spans="1:17" x14ac:dyDescent="0.35">
      <c r="A45" s="17" t="s">
        <v>132</v>
      </c>
      <c r="B45" s="17" t="s">
        <v>153</v>
      </c>
      <c r="C45" s="52" t="s">
        <v>108</v>
      </c>
      <c r="D45" s="17"/>
      <c r="E45" s="18"/>
      <c r="F45" s="18"/>
      <c r="G45" s="18"/>
      <c r="H45" s="17"/>
    </row>
    <row r="46" spans="1:17" x14ac:dyDescent="0.35">
      <c r="E46" s="21"/>
      <c r="F46" s="21"/>
      <c r="G46" s="21"/>
      <c r="H46" s="20"/>
    </row>
    <row r="47" spans="1:17" x14ac:dyDescent="0.35">
      <c r="E47" s="21"/>
      <c r="F47" s="21"/>
      <c r="G47" s="21"/>
      <c r="H47" s="20"/>
      <c r="K47" s="20"/>
      <c r="L47" s="20"/>
      <c r="M47" s="20"/>
      <c r="N47" s="21"/>
      <c r="O47" s="21"/>
      <c r="P47" s="21"/>
      <c r="Q47" s="20"/>
    </row>
    <row r="48" spans="1:17" ht="15.5" x14ac:dyDescent="0.35">
      <c r="A48" s="27"/>
    </row>
    <row r="49" spans="1:1" ht="15.5" x14ac:dyDescent="0.35">
      <c r="A49" s="2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C1" workbookViewId="0">
      <selection activeCell="G9" sqref="G9"/>
    </sheetView>
  </sheetViews>
  <sheetFormatPr defaultRowHeight="14.5" x14ac:dyDescent="0.35"/>
  <cols>
    <col min="1" max="1" width="0.7265625" hidden="1" customWidth="1"/>
    <col min="2" max="2" width="9.1796875" hidden="1" customWidth="1"/>
    <col min="3" max="3" width="5.7265625" customWidth="1"/>
    <col min="4" max="4" width="26.81640625" bestFit="1" customWidth="1"/>
    <col min="5" max="5" width="19.54296875" customWidth="1"/>
    <col min="6" max="7" width="11.54296875" customWidth="1"/>
    <col min="8" max="8" width="13.453125" customWidth="1"/>
    <col min="9" max="9" width="19" customWidth="1"/>
    <col min="10" max="10" width="12.81640625" customWidth="1"/>
    <col min="11" max="11" width="12.54296875" customWidth="1"/>
    <col min="12" max="12" width="13.1796875" bestFit="1" customWidth="1"/>
  </cols>
  <sheetData>
    <row r="1" spans="1:20" x14ac:dyDescent="0.35">
      <c r="D1" s="11" t="s">
        <v>3</v>
      </c>
      <c r="E1" s="8" t="s">
        <v>7</v>
      </c>
      <c r="F1" s="8" t="s">
        <v>4</v>
      </c>
      <c r="H1" s="17" t="s">
        <v>14</v>
      </c>
      <c r="I1" s="82"/>
    </row>
    <row r="2" spans="1:20" ht="15.5" x14ac:dyDescent="0.35">
      <c r="D2" s="9" t="s">
        <v>175</v>
      </c>
      <c r="E2" s="10">
        <v>360</v>
      </c>
      <c r="F2" s="10">
        <v>2.1</v>
      </c>
      <c r="H2" s="17" t="s">
        <v>15</v>
      </c>
      <c r="I2" s="82"/>
      <c r="K2" s="47"/>
    </row>
    <row r="3" spans="1:20" ht="15.5" x14ac:dyDescent="0.35">
      <c r="D3" s="9" t="s">
        <v>142</v>
      </c>
      <c r="E3" s="10">
        <v>301</v>
      </c>
      <c r="F3" s="10">
        <v>2</v>
      </c>
      <c r="H3" s="17" t="s">
        <v>16</v>
      </c>
      <c r="I3" s="82"/>
      <c r="K3" s="14"/>
    </row>
    <row r="4" spans="1:20" ht="15.5" x14ac:dyDescent="0.35">
      <c r="D4" s="9" t="s">
        <v>143</v>
      </c>
      <c r="E4" s="10">
        <v>355</v>
      </c>
      <c r="F4" s="10">
        <v>1.9</v>
      </c>
      <c r="H4" s="17" t="s">
        <v>17</v>
      </c>
      <c r="I4" s="82"/>
      <c r="K4" s="14"/>
      <c r="N4" s="6"/>
    </row>
    <row r="5" spans="1:20" ht="15.5" x14ac:dyDescent="0.35">
      <c r="D5" s="9" t="s">
        <v>144</v>
      </c>
      <c r="E5" s="10">
        <v>311</v>
      </c>
      <c r="F5" s="10">
        <v>1.8</v>
      </c>
      <c r="K5" s="14"/>
      <c r="N5" s="6"/>
    </row>
    <row r="6" spans="1:20" ht="15.5" x14ac:dyDescent="0.35">
      <c r="D6" s="7" t="s">
        <v>5</v>
      </c>
      <c r="E6" s="8"/>
      <c r="F6" s="8">
        <f>SUM(F2:F5)</f>
        <v>7.8</v>
      </c>
      <c r="G6" s="28"/>
      <c r="K6" s="14"/>
      <c r="N6" s="6"/>
    </row>
    <row r="7" spans="1:20" ht="15.5" x14ac:dyDescent="0.35">
      <c r="M7" s="15"/>
      <c r="O7" s="14"/>
      <c r="S7" s="14"/>
    </row>
    <row r="8" spans="1:20" ht="15.5" x14ac:dyDescent="0.35">
      <c r="M8" s="14"/>
      <c r="O8" s="14"/>
      <c r="T8" s="14"/>
    </row>
    <row r="9" spans="1:20" ht="15.5" x14ac:dyDescent="0.35">
      <c r="D9" s="7" t="s">
        <v>0</v>
      </c>
      <c r="E9" s="9" t="str">
        <f>+Novice!E10</f>
        <v>SSA Level 1</v>
      </c>
      <c r="G9" s="87" t="s">
        <v>148</v>
      </c>
      <c r="M9" s="14"/>
      <c r="O9" s="14"/>
      <c r="T9" s="14"/>
    </row>
    <row r="10" spans="1:20" ht="15.5" x14ac:dyDescent="0.35">
      <c r="D10" s="7" t="s">
        <v>19</v>
      </c>
      <c r="E10" s="9" t="str">
        <f>+Novice!E11</f>
        <v>12 - 13 March 2016</v>
      </c>
      <c r="M10" s="14"/>
      <c r="O10" s="14"/>
      <c r="T10" s="14"/>
    </row>
    <row r="11" spans="1:20" ht="15.5" x14ac:dyDescent="0.35">
      <c r="D11" s="7" t="s">
        <v>1</v>
      </c>
      <c r="E11" s="9" t="s">
        <v>164</v>
      </c>
      <c r="M11" s="14"/>
      <c r="O11" s="14"/>
      <c r="T11" s="14"/>
    </row>
    <row r="12" spans="1:20" ht="15.5" x14ac:dyDescent="0.35">
      <c r="M12" s="14"/>
      <c r="O12" s="14"/>
      <c r="T12" s="14"/>
    </row>
    <row r="13" spans="1:20" ht="15.5" x14ac:dyDescent="0.35">
      <c r="C13" s="80" t="s">
        <v>6</v>
      </c>
      <c r="D13" s="11" t="s">
        <v>62</v>
      </c>
      <c r="E13" s="11" t="s">
        <v>63</v>
      </c>
      <c r="F13" s="8" t="s">
        <v>154</v>
      </c>
      <c r="G13" s="8" t="s">
        <v>11</v>
      </c>
      <c r="H13" s="8" t="s">
        <v>61</v>
      </c>
      <c r="I13" s="8" t="s">
        <v>21</v>
      </c>
      <c r="J13" s="8" t="s">
        <v>22</v>
      </c>
      <c r="K13" s="8" t="s">
        <v>23</v>
      </c>
      <c r="M13" s="15"/>
      <c r="O13" s="14"/>
      <c r="T13" s="14"/>
    </row>
    <row r="14" spans="1:20" x14ac:dyDescent="0.35">
      <c r="A14">
        <f>H14</f>
        <v>1</v>
      </c>
      <c r="B14">
        <f>K14</f>
        <v>1</v>
      </c>
      <c r="C14" s="82">
        <v>1</v>
      </c>
      <c r="D14" s="17" t="s">
        <v>123</v>
      </c>
      <c r="E14" s="17" t="s">
        <v>101</v>
      </c>
      <c r="F14" s="18" t="s">
        <v>164</v>
      </c>
      <c r="G14" s="22">
        <f>IFERROR(HLOOKUP(C14,'16 - 18 Scores'!$B$3:$B$48,46,FALSE),"")</f>
        <v>42.83</v>
      </c>
      <c r="H14" s="18">
        <f>IF(F14&lt;&gt;"",IF(G14&lt;&gt;"",RANK(G14,$G$14:$G$14,0),""))</f>
        <v>1</v>
      </c>
      <c r="I14" s="22">
        <f>IFERROR(VLOOKUP($D14,'13-18 Solos'!$B$14:$F$22,5,FALSE),"")</f>
        <v>46.825000000000003</v>
      </c>
      <c r="J14" s="22">
        <f>IFERROR(ROUND(+G14*0.5+I14*0.5,3),"")</f>
        <v>44.828000000000003</v>
      </c>
      <c r="K14" s="18">
        <f>IF(J14&lt;&gt;"",RANK(J14,$J$14:$J$14,0),"")</f>
        <v>1</v>
      </c>
    </row>
  </sheetData>
  <sheetProtection password="D8D7" sheet="1" objects="1" scenarios="1" selectLockedCells="1"/>
  <pageMargins left="0.7" right="0.7" top="0.75" bottom="0.75" header="0.3" footer="0.3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topLeftCell="A4" workbookViewId="0">
      <selection activeCell="B4" sqref="B4"/>
    </sheetView>
  </sheetViews>
  <sheetFormatPr defaultRowHeight="14.5" outlineLevelRow="1" x14ac:dyDescent="0.35"/>
  <cols>
    <col min="1" max="1" width="16.1796875" style="2" customWidth="1"/>
    <col min="2" max="2" width="10.7265625" customWidth="1"/>
  </cols>
  <sheetData>
    <row r="1" spans="1:2" ht="21" x14ac:dyDescent="0.5">
      <c r="A1" s="43" t="s">
        <v>122</v>
      </c>
      <c r="B1" s="44" t="s">
        <v>156</v>
      </c>
    </row>
    <row r="3" spans="1:2" s="2" customFormat="1" outlineLevel="1" x14ac:dyDescent="0.35">
      <c r="A3" s="59" t="str">
        <f>'16 - 18'!D2</f>
        <v>Front walkover</v>
      </c>
      <c r="B3" s="84">
        <v>1</v>
      </c>
    </row>
    <row r="4" spans="1:2" outlineLevel="1" x14ac:dyDescent="0.35">
      <c r="A4" s="60" t="s">
        <v>14</v>
      </c>
      <c r="B4" s="82">
        <v>4.3</v>
      </c>
    </row>
    <row r="5" spans="1:2" outlineLevel="1" x14ac:dyDescent="0.35">
      <c r="A5" s="60" t="s">
        <v>15</v>
      </c>
      <c r="B5" s="82">
        <v>4.5999999999999996</v>
      </c>
    </row>
    <row r="6" spans="1:2" outlineLevel="1" x14ac:dyDescent="0.35">
      <c r="A6" s="60" t="s">
        <v>16</v>
      </c>
      <c r="B6" s="82">
        <v>4.7</v>
      </c>
    </row>
    <row r="7" spans="1:2" outlineLevel="1" x14ac:dyDescent="0.35">
      <c r="A7" s="60" t="s">
        <v>17</v>
      </c>
      <c r="B7" s="82">
        <v>4.5</v>
      </c>
    </row>
    <row r="8" spans="1:2" outlineLevel="1" x14ac:dyDescent="0.35">
      <c r="A8" s="60" t="s">
        <v>18</v>
      </c>
      <c r="B8" s="76">
        <f>IFERROR(AVERAGE(B4:B7),"")</f>
        <v>4.5249999999999995</v>
      </c>
    </row>
    <row r="9" spans="1:2" s="2" customFormat="1" outlineLevel="1" x14ac:dyDescent="0.35">
      <c r="A9" s="59" t="s">
        <v>8</v>
      </c>
      <c r="B9" s="60">
        <f>+MAX(B4:B8)</f>
        <v>4.7</v>
      </c>
    </row>
    <row r="10" spans="1:2" s="2" customFormat="1" outlineLevel="1" x14ac:dyDescent="0.35">
      <c r="A10" s="59" t="s">
        <v>9</v>
      </c>
      <c r="B10" s="60">
        <f>+MIN(B4:B8)</f>
        <v>4.3</v>
      </c>
    </row>
    <row r="11" spans="1:2" s="2" customFormat="1" outlineLevel="1" x14ac:dyDescent="0.35">
      <c r="A11" s="59" t="s">
        <v>10</v>
      </c>
      <c r="B11" s="62">
        <f>IFERROR((SUM(B4:B8)-B9-B10)/(COUNT(B4:B8)-2),0)</f>
        <v>4.5416666666666652</v>
      </c>
    </row>
    <row r="12" spans="1:2" s="2" customFormat="1" outlineLevel="1" x14ac:dyDescent="0.35">
      <c r="A12" s="59" t="s">
        <v>11</v>
      </c>
      <c r="B12" s="63">
        <f>+B11*'16 - 18'!$F$2</f>
        <v>9.5374999999999979</v>
      </c>
    </row>
    <row r="13" spans="1:2" s="2" customFormat="1" x14ac:dyDescent="0.35"/>
    <row r="14" spans="1:2" s="2" customFormat="1" outlineLevel="1" x14ac:dyDescent="0.35">
      <c r="A14" s="59" t="str">
        <f>'16 - 18'!D3</f>
        <v>Barracuda</v>
      </c>
      <c r="B14" s="59">
        <v>1</v>
      </c>
    </row>
    <row r="15" spans="1:2" outlineLevel="1" x14ac:dyDescent="0.35">
      <c r="A15" s="60" t="s">
        <v>14</v>
      </c>
      <c r="B15" s="82">
        <v>4.7</v>
      </c>
    </row>
    <row r="16" spans="1:2" outlineLevel="1" x14ac:dyDescent="0.35">
      <c r="A16" s="60" t="s">
        <v>15</v>
      </c>
      <c r="B16" s="82">
        <v>4.4000000000000004</v>
      </c>
    </row>
    <row r="17" spans="1:2" outlineLevel="1" x14ac:dyDescent="0.35">
      <c r="A17" s="60" t="s">
        <v>16</v>
      </c>
      <c r="B17" s="82">
        <v>4.7</v>
      </c>
    </row>
    <row r="18" spans="1:2" outlineLevel="1" x14ac:dyDescent="0.35">
      <c r="A18" s="60" t="s">
        <v>17</v>
      </c>
      <c r="B18" s="82">
        <v>4.7</v>
      </c>
    </row>
    <row r="19" spans="1:2" outlineLevel="1" x14ac:dyDescent="0.35">
      <c r="A19" s="60" t="s">
        <v>18</v>
      </c>
      <c r="B19" s="76">
        <f>IFERROR(AVERAGE(B15:B18),"")</f>
        <v>4.625</v>
      </c>
    </row>
    <row r="20" spans="1:2" s="2" customFormat="1" outlineLevel="1" x14ac:dyDescent="0.35">
      <c r="A20" s="59" t="s">
        <v>8</v>
      </c>
      <c r="B20" s="60">
        <f>+MAX(B15:B19)</f>
        <v>4.7</v>
      </c>
    </row>
    <row r="21" spans="1:2" s="2" customFormat="1" outlineLevel="1" x14ac:dyDescent="0.35">
      <c r="A21" s="59" t="s">
        <v>9</v>
      </c>
      <c r="B21" s="60">
        <f>+MIN(B15:B19)</f>
        <v>4.4000000000000004</v>
      </c>
    </row>
    <row r="22" spans="1:2" s="2" customFormat="1" outlineLevel="1" x14ac:dyDescent="0.35">
      <c r="A22" s="59" t="s">
        <v>10</v>
      </c>
      <c r="B22" s="62">
        <f>IFERROR((SUM(B15:B19)-B20-B21)/(COUNT(B15:B19)-2),0)</f>
        <v>4.6749999999999998</v>
      </c>
    </row>
    <row r="23" spans="1:2" s="2" customFormat="1" outlineLevel="1" x14ac:dyDescent="0.35">
      <c r="A23" s="59" t="s">
        <v>11</v>
      </c>
      <c r="B23" s="63">
        <f>+B22*'16 - 18'!$F$3</f>
        <v>9.35</v>
      </c>
    </row>
    <row r="24" spans="1:2" s="2" customFormat="1" x14ac:dyDescent="0.35"/>
    <row r="25" spans="1:2" s="2" customFormat="1" outlineLevel="1" x14ac:dyDescent="0.35">
      <c r="A25" s="59" t="str">
        <f>'16 - 18'!D4</f>
        <v>Porpoise</v>
      </c>
      <c r="B25" s="59">
        <v>1</v>
      </c>
    </row>
    <row r="26" spans="1:2" outlineLevel="1" x14ac:dyDescent="0.35">
      <c r="A26" s="60" t="s">
        <v>14</v>
      </c>
      <c r="B26" s="82">
        <v>3.6</v>
      </c>
    </row>
    <row r="27" spans="1:2" outlineLevel="1" x14ac:dyDescent="0.35">
      <c r="A27" s="60" t="s">
        <v>15</v>
      </c>
      <c r="B27" s="82">
        <v>3.7</v>
      </c>
    </row>
    <row r="28" spans="1:2" outlineLevel="1" x14ac:dyDescent="0.35">
      <c r="A28" s="60" t="s">
        <v>16</v>
      </c>
      <c r="B28" s="82">
        <v>4</v>
      </c>
    </row>
    <row r="29" spans="1:2" outlineLevel="1" x14ac:dyDescent="0.35">
      <c r="A29" s="60" t="s">
        <v>17</v>
      </c>
      <c r="B29" s="82">
        <v>4.7</v>
      </c>
    </row>
    <row r="30" spans="1:2" outlineLevel="1" x14ac:dyDescent="0.35">
      <c r="A30" s="60" t="s">
        <v>18</v>
      </c>
      <c r="B30" s="76">
        <f>IFERROR(AVERAGE(B26:B29),"")</f>
        <v>4</v>
      </c>
    </row>
    <row r="31" spans="1:2" s="2" customFormat="1" outlineLevel="1" x14ac:dyDescent="0.35">
      <c r="A31" s="59" t="s">
        <v>8</v>
      </c>
      <c r="B31" s="60">
        <f>+MAX(B26:B30)</f>
        <v>4.7</v>
      </c>
    </row>
    <row r="32" spans="1:2" s="2" customFormat="1" outlineLevel="1" x14ac:dyDescent="0.35">
      <c r="A32" s="59" t="s">
        <v>9</v>
      </c>
      <c r="B32" s="60">
        <f>+MIN(B26:B30)</f>
        <v>3.6</v>
      </c>
    </row>
    <row r="33" spans="1:2" s="2" customFormat="1" outlineLevel="1" x14ac:dyDescent="0.35">
      <c r="A33" s="59" t="s">
        <v>10</v>
      </c>
      <c r="B33" s="62">
        <f>IFERROR((SUM(B26:B30)-B31-B32)/(COUNT(B26:B30)-2),0)</f>
        <v>3.9000000000000004</v>
      </c>
    </row>
    <row r="34" spans="1:2" s="2" customFormat="1" outlineLevel="1" x14ac:dyDescent="0.35">
      <c r="A34" s="59" t="s">
        <v>11</v>
      </c>
      <c r="B34" s="63">
        <f>+B33*'16 - 18'!$F$4</f>
        <v>7.41</v>
      </c>
    </row>
    <row r="35" spans="1:2" s="2" customFormat="1" x14ac:dyDescent="0.35"/>
    <row r="36" spans="1:2" s="2" customFormat="1" outlineLevel="1" x14ac:dyDescent="0.35">
      <c r="A36" s="59" t="str">
        <f>'16 - 18'!D5</f>
        <v>Kip</v>
      </c>
      <c r="B36" s="59">
        <v>1</v>
      </c>
    </row>
    <row r="37" spans="1:2" outlineLevel="1" x14ac:dyDescent="0.35">
      <c r="A37" s="60" t="s">
        <v>14</v>
      </c>
      <c r="B37" s="82">
        <v>4</v>
      </c>
    </row>
    <row r="38" spans="1:2" outlineLevel="1" x14ac:dyDescent="0.35">
      <c r="A38" s="60" t="s">
        <v>15</v>
      </c>
      <c r="B38" s="82">
        <v>3.9</v>
      </c>
    </row>
    <row r="39" spans="1:2" outlineLevel="1" x14ac:dyDescent="0.35">
      <c r="A39" s="60" t="s">
        <v>16</v>
      </c>
      <c r="B39" s="82">
        <v>3.7</v>
      </c>
    </row>
    <row r="40" spans="1:2" outlineLevel="1" x14ac:dyDescent="0.35">
      <c r="A40" s="60" t="s">
        <v>17</v>
      </c>
      <c r="B40" s="82">
        <v>4.2</v>
      </c>
    </row>
    <row r="41" spans="1:2" outlineLevel="1" x14ac:dyDescent="0.35">
      <c r="A41" s="60" t="s">
        <v>18</v>
      </c>
      <c r="B41" s="76">
        <f>IFERROR(AVERAGE(B37:B40),"")</f>
        <v>3.95</v>
      </c>
    </row>
    <row r="42" spans="1:2" s="2" customFormat="1" outlineLevel="1" x14ac:dyDescent="0.35">
      <c r="A42" s="59" t="s">
        <v>8</v>
      </c>
      <c r="B42" s="60">
        <f>+MAX(B37:B41)</f>
        <v>4.2</v>
      </c>
    </row>
    <row r="43" spans="1:2" s="2" customFormat="1" outlineLevel="1" x14ac:dyDescent="0.35">
      <c r="A43" s="59" t="s">
        <v>9</v>
      </c>
      <c r="B43" s="60">
        <f>+MIN(B37:B41)</f>
        <v>3.7</v>
      </c>
    </row>
    <row r="44" spans="1:2" s="2" customFormat="1" outlineLevel="1" x14ac:dyDescent="0.35">
      <c r="A44" s="59" t="s">
        <v>10</v>
      </c>
      <c r="B44" s="62">
        <f>IFERROR((SUM(B37:B41)-B42-B43)/(COUNT(B37:B41)-2),0)</f>
        <v>3.9500000000000006</v>
      </c>
    </row>
    <row r="45" spans="1:2" s="2" customFormat="1" outlineLevel="1" x14ac:dyDescent="0.35">
      <c r="A45" s="59" t="s">
        <v>11</v>
      </c>
      <c r="B45" s="63">
        <f>+B44*'16 - 18'!$F$5</f>
        <v>7.1100000000000012</v>
      </c>
    </row>
    <row r="46" spans="1:2" s="2" customFormat="1" x14ac:dyDescent="0.35">
      <c r="B46" s="3"/>
    </row>
    <row r="47" spans="1:2" s="2" customFormat="1" x14ac:dyDescent="0.35">
      <c r="A47" s="59" t="s">
        <v>60</v>
      </c>
      <c r="B47" s="59"/>
    </row>
    <row r="48" spans="1:2" s="2" customFormat="1" x14ac:dyDescent="0.35">
      <c r="A48" s="59" t="s">
        <v>13</v>
      </c>
      <c r="B48" s="77">
        <f>+ROUND(((+B12+B23+B34+B45)/'16 - 18'!$F$6*10)-B47,3)</f>
        <v>42.83</v>
      </c>
    </row>
  </sheetData>
  <sheetProtection password="D8D7" sheet="1" objects="1" scenarios="1" selectLockedCells="1"/>
  <pageMargins left="0.7" right="0.7" top="0.75" bottom="0.75" header="0.3" footer="0.3"/>
  <pageSetup paperSize="9" fitToHeight="0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opLeftCell="A4" workbookViewId="0">
      <selection activeCell="C23" sqref="C23"/>
    </sheetView>
  </sheetViews>
  <sheetFormatPr defaultColWidth="9.1796875" defaultRowHeight="14.5" x14ac:dyDescent="0.35"/>
  <cols>
    <col min="1" max="1" width="1.54296875" style="49" customWidth="1"/>
    <col min="2" max="2" width="26.81640625" style="49" bestFit="1" customWidth="1"/>
    <col min="3" max="3" width="16.81640625" style="49" customWidth="1"/>
    <col min="4" max="4" width="15.7265625" style="49" customWidth="1"/>
    <col min="5" max="7" width="14.7265625" style="49" customWidth="1"/>
    <col min="8" max="8" width="20.54296875" style="49" customWidth="1"/>
    <col min="9" max="9" width="16.7265625" style="49" customWidth="1"/>
    <col min="10" max="10" width="9.1796875" style="49"/>
    <col min="11" max="11" width="21.81640625" style="49" customWidth="1"/>
    <col min="12" max="16384" width="9.1796875" style="49"/>
  </cols>
  <sheetData>
    <row r="1" spans="1:14" x14ac:dyDescent="0.35">
      <c r="B1" s="52"/>
      <c r="C1" s="7" t="s">
        <v>33</v>
      </c>
      <c r="D1" s="7" t="s">
        <v>76</v>
      </c>
      <c r="E1" s="7" t="s">
        <v>35</v>
      </c>
    </row>
    <row r="2" spans="1:14" x14ac:dyDescent="0.35">
      <c r="B2" s="52" t="s">
        <v>14</v>
      </c>
      <c r="C2" s="82"/>
      <c r="D2" s="82"/>
      <c r="E2" s="82"/>
      <c r="K2" s="6"/>
    </row>
    <row r="3" spans="1:14" x14ac:dyDescent="0.35">
      <c r="B3" s="52" t="s">
        <v>15</v>
      </c>
      <c r="C3" s="82"/>
      <c r="D3" s="82"/>
      <c r="E3" s="82"/>
      <c r="K3" s="6"/>
    </row>
    <row r="4" spans="1:14" x14ac:dyDescent="0.35">
      <c r="B4" s="52" t="s">
        <v>16</v>
      </c>
      <c r="C4" s="82"/>
      <c r="D4" s="82"/>
      <c r="E4" s="82"/>
      <c r="K4" s="6"/>
    </row>
    <row r="5" spans="1:14" x14ac:dyDescent="0.35">
      <c r="B5" s="52" t="s">
        <v>17</v>
      </c>
      <c r="C5" s="82"/>
      <c r="D5" s="82"/>
      <c r="E5" s="82"/>
    </row>
    <row r="6" spans="1:14" x14ac:dyDescent="0.35">
      <c r="E6" s="58"/>
      <c r="F6" s="58"/>
      <c r="G6" s="58"/>
      <c r="H6" s="58"/>
      <c r="I6" s="58"/>
    </row>
    <row r="7" spans="1:14" x14ac:dyDescent="0.35">
      <c r="E7" s="58"/>
      <c r="F7" s="58"/>
      <c r="G7" s="58"/>
      <c r="H7" s="58"/>
      <c r="I7" s="58"/>
    </row>
    <row r="8" spans="1:14" x14ac:dyDescent="0.35">
      <c r="B8" s="7" t="s">
        <v>0</v>
      </c>
      <c r="C8" s="19" t="str">
        <f>'U10 U12'!E19</f>
        <v>SSA Level 1</v>
      </c>
      <c r="E8" s="87" t="s">
        <v>148</v>
      </c>
      <c r="F8" s="58"/>
      <c r="G8" s="58"/>
      <c r="H8" s="58"/>
      <c r="I8" s="58"/>
    </row>
    <row r="9" spans="1:14" x14ac:dyDescent="0.35">
      <c r="B9" s="7" t="s">
        <v>19</v>
      </c>
      <c r="C9" s="19" t="str">
        <f>'U10 U12'!E20</f>
        <v>12 - 13 March 2016</v>
      </c>
      <c r="E9" s="58"/>
      <c r="F9" s="58"/>
      <c r="G9" s="58"/>
      <c r="H9" s="58"/>
      <c r="I9" s="58"/>
    </row>
    <row r="10" spans="1:14" x14ac:dyDescent="0.35">
      <c r="B10" s="7" t="s">
        <v>1</v>
      </c>
      <c r="C10" s="19" t="s">
        <v>174</v>
      </c>
      <c r="E10" s="58"/>
      <c r="F10" s="58"/>
      <c r="G10" s="58"/>
      <c r="H10" s="58"/>
      <c r="I10" s="50"/>
      <c r="J10" s="50"/>
    </row>
    <row r="11" spans="1:14" x14ac:dyDescent="0.35">
      <c r="E11" s="58"/>
      <c r="F11" s="58"/>
      <c r="G11" s="58"/>
      <c r="H11" s="58"/>
      <c r="I11" s="58"/>
      <c r="J11" s="50"/>
    </row>
    <row r="12" spans="1:14" x14ac:dyDescent="0.35">
      <c r="E12" s="58"/>
      <c r="F12" s="58"/>
      <c r="G12" s="58"/>
      <c r="H12" s="58"/>
      <c r="I12" s="58"/>
      <c r="J12" s="50"/>
    </row>
    <row r="13" spans="1:14" x14ac:dyDescent="0.35">
      <c r="B13" s="11" t="s">
        <v>2</v>
      </c>
      <c r="C13" s="81" t="s">
        <v>6</v>
      </c>
      <c r="D13" s="8" t="s">
        <v>154</v>
      </c>
      <c r="E13" s="8" t="s">
        <v>134</v>
      </c>
      <c r="F13" s="8" t="s">
        <v>11</v>
      </c>
      <c r="G13" s="58"/>
      <c r="H13" s="58"/>
      <c r="I13" s="58"/>
      <c r="J13" s="50"/>
      <c r="L13" s="50"/>
    </row>
    <row r="14" spans="1:14" x14ac:dyDescent="0.35">
      <c r="A14" s="49">
        <v>4</v>
      </c>
      <c r="B14" s="52" t="s">
        <v>89</v>
      </c>
      <c r="C14" s="83">
        <v>2</v>
      </c>
      <c r="D14" s="53" t="str">
        <f>VLOOKUP($B14,Competitiors!$A$4:$C$45,3,FALSE)</f>
        <v>U10</v>
      </c>
      <c r="E14" s="52" t="str">
        <f>VLOOKUP($B14,Competitiors!$A$4:$C$45,2,FALSE)</f>
        <v>Cygnus</v>
      </c>
      <c r="F14" s="22">
        <f>IFERROR(HLOOKUP($C14,'U10 U12 Solo Scores'!$B$3:$K$37,35,FALSE),"")</f>
        <v>35.767000000000003</v>
      </c>
      <c r="G14" s="58"/>
      <c r="H14" s="58"/>
      <c r="I14" s="58"/>
      <c r="J14" s="50"/>
      <c r="L14" s="50"/>
      <c r="N14" s="50"/>
    </row>
    <row r="15" spans="1:14" x14ac:dyDescent="0.35">
      <c r="A15" s="49">
        <v>9</v>
      </c>
      <c r="B15" s="52" t="s">
        <v>92</v>
      </c>
      <c r="C15" s="83">
        <v>1</v>
      </c>
      <c r="D15" s="53" t="str">
        <f>VLOOKUP($B15,Competitiors!$A$4:$C$45,3,FALSE)</f>
        <v>U10</v>
      </c>
      <c r="E15" s="52" t="str">
        <f>VLOOKUP($B15,Competitiors!$A$4:$C$45,2,FALSE)</f>
        <v>DGC</v>
      </c>
      <c r="F15" s="22">
        <f>IFERROR(HLOOKUP($C15,'U10 U12 Solo Scores'!$B$3:$K$37,35,FALSE),"")</f>
        <v>33.991999999999997</v>
      </c>
      <c r="G15" s="58"/>
      <c r="H15" s="58"/>
      <c r="I15" s="58"/>
      <c r="J15" s="50"/>
      <c r="L15" s="50"/>
      <c r="N15" s="50"/>
    </row>
    <row r="16" spans="1:14" x14ac:dyDescent="0.35">
      <c r="A16" s="49">
        <v>1</v>
      </c>
      <c r="B16" s="52" t="s">
        <v>95</v>
      </c>
      <c r="C16" s="83">
        <v>7</v>
      </c>
      <c r="D16" s="53" t="str">
        <f>VLOOKUP($B16,Competitiors!$A$4:$C$45,3,FALSE)</f>
        <v>U12</v>
      </c>
      <c r="E16" s="52" t="str">
        <f>VLOOKUP($B16,Competitiors!$A$4:$C$45,2,FALSE)</f>
        <v>Umlazi Sharks</v>
      </c>
      <c r="F16" s="22">
        <f>IFERROR(HLOOKUP($C16,'U10 U12 Solo Scores'!$B$3:$K$37,35,FALSE),"")</f>
        <v>35.908000000000001</v>
      </c>
      <c r="G16" s="58"/>
      <c r="H16" s="58"/>
      <c r="I16" s="58"/>
      <c r="J16" s="50"/>
      <c r="L16" s="50"/>
      <c r="N16" s="50"/>
    </row>
    <row r="17" spans="1:14" x14ac:dyDescent="0.35">
      <c r="A17" s="49">
        <v>6</v>
      </c>
      <c r="B17" s="52" t="s">
        <v>98</v>
      </c>
      <c r="C17" s="83">
        <v>4</v>
      </c>
      <c r="D17" s="53" t="str">
        <f>VLOOKUP($B17,Competitiors!$A$4:$C$45,3,FALSE)</f>
        <v>U12</v>
      </c>
      <c r="E17" s="52" t="str">
        <f>VLOOKUP($B17,Competitiors!$A$4:$C$45,2,FALSE)</f>
        <v>Umlazi Sharks</v>
      </c>
      <c r="F17" s="22">
        <f>IFERROR(HLOOKUP($C17,'U10 U12 Solo Scores'!$B$3:$K$37,35,FALSE),"")</f>
        <v>34.341999999999999</v>
      </c>
      <c r="G17" s="58"/>
      <c r="H17" s="58"/>
      <c r="I17" s="58"/>
      <c r="J17" s="50"/>
      <c r="L17" s="50"/>
      <c r="N17" s="50"/>
    </row>
    <row r="18" spans="1:14" x14ac:dyDescent="0.35">
      <c r="A18" s="49">
        <v>8</v>
      </c>
      <c r="B18" s="52" t="s">
        <v>100</v>
      </c>
      <c r="C18" s="83">
        <v>6</v>
      </c>
      <c r="D18" s="53" t="str">
        <f>VLOOKUP($B18,Competitiors!$A$4:$C$45,3,FALSE)</f>
        <v>U12</v>
      </c>
      <c r="E18" s="52" t="str">
        <f>VLOOKUP($B18,Competitiors!$A$4:$C$45,2,FALSE)</f>
        <v>Synchronacity</v>
      </c>
      <c r="F18" s="22">
        <f>IFERROR(HLOOKUP($C18,'U10 U12 Solo Scores'!$B$3:$K$37,35,FALSE),"")</f>
        <v>40.317</v>
      </c>
      <c r="G18" s="58"/>
      <c r="H18" s="58"/>
      <c r="I18" s="58"/>
      <c r="J18" s="50"/>
      <c r="L18" s="50"/>
      <c r="N18" s="50"/>
    </row>
    <row r="19" spans="1:14" x14ac:dyDescent="0.35">
      <c r="A19" s="49">
        <v>11</v>
      </c>
      <c r="B19" s="52" t="s">
        <v>102</v>
      </c>
      <c r="C19" s="83">
        <v>9</v>
      </c>
      <c r="D19" s="53" t="str">
        <f>VLOOKUP($B19,Competitiors!$A$4:$C$45,3,FALSE)</f>
        <v>U12</v>
      </c>
      <c r="E19" s="52" t="str">
        <f>VLOOKUP($B19,Competitiors!$A$4:$C$45,2,FALSE)</f>
        <v>Synchronacity</v>
      </c>
      <c r="F19" s="22">
        <f>IFERROR(HLOOKUP($C19,'U10 U12 Solo Scores'!$B$3:$K$37,35,FALSE),"")</f>
        <v>34.799999999999997</v>
      </c>
      <c r="G19" s="58"/>
      <c r="H19" s="58"/>
      <c r="I19" s="58"/>
      <c r="J19" s="50"/>
    </row>
    <row r="20" spans="1:14" x14ac:dyDescent="0.35">
      <c r="A20" s="49">
        <v>10</v>
      </c>
      <c r="B20" s="52" t="s">
        <v>103</v>
      </c>
      <c r="C20" s="83">
        <v>5</v>
      </c>
      <c r="D20" s="53" t="str">
        <f>VLOOKUP($B20,Competitiors!$A$4:$C$45,3,FALSE)</f>
        <v>U12</v>
      </c>
      <c r="E20" s="52" t="str">
        <f>VLOOKUP($B20,Competitiors!$A$4:$C$45,2,FALSE)</f>
        <v>Synchronacity</v>
      </c>
      <c r="F20" s="22">
        <f>IFERROR(HLOOKUP($C20,'U10 U12 Solo Scores'!$B$3:$K$37,35,FALSE),"")</f>
        <v>38.917000000000002</v>
      </c>
      <c r="G20" s="58"/>
      <c r="H20" s="58"/>
      <c r="I20" s="58"/>
      <c r="J20" s="50"/>
      <c r="L20" s="50"/>
      <c r="N20" s="50"/>
    </row>
    <row r="21" spans="1:14" x14ac:dyDescent="0.35">
      <c r="A21" s="49">
        <v>3</v>
      </c>
      <c r="B21" s="52" t="s">
        <v>104</v>
      </c>
      <c r="C21" s="83">
        <v>8</v>
      </c>
      <c r="D21" s="53" t="str">
        <f>VLOOKUP($B21,Competitiors!$A$4:$C$45,3,FALSE)</f>
        <v>U12</v>
      </c>
      <c r="E21" s="52" t="str">
        <f>VLOOKUP($B21,Competitiors!$A$4:$C$45,2,FALSE)</f>
        <v>Tuks</v>
      </c>
      <c r="F21" s="22">
        <f>IFERROR(HLOOKUP($C21,'U10 U12 Solo Scores'!$B$3:$K$37,35,FALSE),"")</f>
        <v>46.283000000000001</v>
      </c>
      <c r="G21" s="58"/>
      <c r="H21" s="58"/>
      <c r="I21" s="58"/>
      <c r="J21" s="50"/>
      <c r="L21" s="50"/>
      <c r="N21" s="50"/>
    </row>
    <row r="22" spans="1:14" x14ac:dyDescent="0.35">
      <c r="A22" s="49">
        <v>2</v>
      </c>
      <c r="B22" s="52" t="s">
        <v>106</v>
      </c>
      <c r="C22" s="83">
        <v>10</v>
      </c>
      <c r="D22" s="53" t="str">
        <f>VLOOKUP($B22,Competitiors!$A$4:$C$45,3,FALSE)</f>
        <v>U12</v>
      </c>
      <c r="E22" s="52" t="str">
        <f>VLOOKUP($B22,Competitiors!$A$4:$C$45,2,FALSE)</f>
        <v>DGC</v>
      </c>
      <c r="F22" s="22">
        <f>IFERROR(HLOOKUP($C22,'U10 U12 Solo Scores'!$B$3:$K$37,35,FALSE),"")</f>
        <v>41.725000000000001</v>
      </c>
      <c r="G22" s="58"/>
      <c r="H22" s="58"/>
      <c r="I22" s="58"/>
      <c r="J22" s="50"/>
      <c r="L22" s="50"/>
      <c r="N22" s="50"/>
    </row>
    <row r="23" spans="1:14" x14ac:dyDescent="0.35">
      <c r="A23" s="49">
        <v>7</v>
      </c>
      <c r="B23" s="52" t="s">
        <v>173</v>
      </c>
      <c r="C23" s="83">
        <v>3</v>
      </c>
      <c r="D23" s="53" t="str">
        <f>VLOOKUP($B23,Competitiors!$A$4:$C$45,3,FALSE)</f>
        <v>U12</v>
      </c>
      <c r="E23" s="52" t="str">
        <f>VLOOKUP($B23,Competitiors!$A$4:$C$45,2,FALSE)</f>
        <v>DGC</v>
      </c>
      <c r="F23" s="22">
        <f>IFERROR(HLOOKUP($C23,'U10 U12 Solo Scores'!$B$3:$K$37,35,FALSE),"")</f>
        <v>36.549999999999997</v>
      </c>
      <c r="G23" s="58"/>
      <c r="H23" s="58"/>
      <c r="I23" s="58"/>
      <c r="J23" s="50"/>
      <c r="L23" s="50"/>
      <c r="N23" s="50"/>
    </row>
    <row r="24" spans="1:14" x14ac:dyDescent="0.35">
      <c r="C24" s="50"/>
      <c r="D24" s="13" t="str">
        <f>IFERROR(HLOOKUP($C24,'U10 U12 Solo Scores'!$B$3:$K$37,44,FALSE),"")</f>
        <v/>
      </c>
      <c r="E24" s="13"/>
      <c r="F24" s="13"/>
      <c r="G24" s="58"/>
      <c r="H24" s="58"/>
      <c r="I24" s="58"/>
      <c r="J24" s="50"/>
      <c r="L24" s="50"/>
      <c r="N24" s="50"/>
    </row>
    <row r="25" spans="1:14" x14ac:dyDescent="0.35">
      <c r="G25" s="58"/>
      <c r="H25" s="58"/>
      <c r="I25" s="58"/>
    </row>
    <row r="26" spans="1:14" x14ac:dyDescent="0.35">
      <c r="G26" s="58"/>
      <c r="H26" s="58"/>
      <c r="I26" s="58"/>
    </row>
  </sheetData>
  <sheetProtection password="D8D7" sheet="1" objects="1" scenarios="1" selectLockedCells="1"/>
  <pageMargins left="0.7" right="0.7" top="0.75" bottom="0.75" header="0.3" footer="0.3"/>
  <pageSetup paperSize="9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Normal="100" zoomScaleSheetLayoutView="100" workbookViewId="0">
      <pane xSplit="1" ySplit="3" topLeftCell="B16" activePane="bottomRight" state="frozen"/>
      <selection activeCell="C14" sqref="C14:C23"/>
      <selection pane="topRight" activeCell="C14" sqref="C14:C23"/>
      <selection pane="bottomLeft" activeCell="C14" sqref="C14:C23"/>
      <selection pane="bottomRight" activeCell="K5" sqref="K5"/>
    </sheetView>
  </sheetViews>
  <sheetFormatPr defaultColWidth="9.1796875" defaultRowHeight="14.5" outlineLevelRow="1" x14ac:dyDescent="0.35"/>
  <cols>
    <col min="1" max="1" width="23.453125" style="2" bestFit="1" customWidth="1"/>
    <col min="2" max="2" width="12.453125" style="2" customWidth="1"/>
    <col min="3" max="3" width="12.26953125" style="2" customWidth="1"/>
    <col min="4" max="4" width="12.54296875" style="2" bestFit="1" customWidth="1"/>
    <col min="5" max="6" width="14.7265625" style="2" customWidth="1"/>
    <col min="7" max="11" width="12.54296875" style="2" bestFit="1" customWidth="1"/>
    <col min="12" max="16384" width="9.1796875" style="2"/>
  </cols>
  <sheetData>
    <row r="1" spans="1:11" ht="21" x14ac:dyDescent="0.5">
      <c r="A1" s="43" t="s">
        <v>169</v>
      </c>
      <c r="B1" s="43" t="s">
        <v>183</v>
      </c>
    </row>
    <row r="3" spans="1:11" outlineLevel="1" x14ac:dyDescent="0.35">
      <c r="A3" s="59" t="s">
        <v>33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</row>
    <row r="4" spans="1:11" outlineLevel="1" x14ac:dyDescent="0.35">
      <c r="A4" s="60" t="s">
        <v>14</v>
      </c>
      <c r="B4" s="82">
        <v>3.6</v>
      </c>
      <c r="C4" s="82">
        <v>3.8</v>
      </c>
      <c r="D4" s="82">
        <v>3.8</v>
      </c>
      <c r="E4" s="82">
        <v>3.4</v>
      </c>
      <c r="F4" s="82">
        <v>3.8</v>
      </c>
      <c r="G4" s="82">
        <v>4</v>
      </c>
      <c r="H4" s="82">
        <v>3.5</v>
      </c>
      <c r="I4" s="82">
        <v>4.5999999999999996</v>
      </c>
      <c r="J4" s="82">
        <v>3.5</v>
      </c>
      <c r="K4" s="82">
        <v>4.5999999999999996</v>
      </c>
    </row>
    <row r="5" spans="1:11" outlineLevel="1" x14ac:dyDescent="0.35">
      <c r="A5" s="60" t="s">
        <v>15</v>
      </c>
      <c r="B5" s="82">
        <v>3.4</v>
      </c>
      <c r="C5" s="82">
        <v>3.4</v>
      </c>
      <c r="D5" s="82">
        <v>3.6</v>
      </c>
      <c r="E5" s="82">
        <v>3.4</v>
      </c>
      <c r="F5" s="82">
        <v>3.9</v>
      </c>
      <c r="G5" s="82">
        <v>3.8</v>
      </c>
      <c r="H5" s="82">
        <v>3.5</v>
      </c>
      <c r="I5" s="82">
        <v>5</v>
      </c>
      <c r="J5" s="82">
        <v>3.5</v>
      </c>
      <c r="K5" s="82">
        <v>3.9</v>
      </c>
    </row>
    <row r="6" spans="1:11" outlineLevel="1" x14ac:dyDescent="0.35">
      <c r="A6" s="60" t="s">
        <v>16</v>
      </c>
      <c r="B6" s="82">
        <v>3.6</v>
      </c>
      <c r="C6" s="82">
        <v>3.2</v>
      </c>
      <c r="D6" s="82">
        <v>3.6</v>
      </c>
      <c r="E6" s="82">
        <v>3.4</v>
      </c>
      <c r="F6" s="82">
        <v>4</v>
      </c>
      <c r="G6" s="82">
        <v>4.0999999999999996</v>
      </c>
      <c r="H6" s="82">
        <v>3.6</v>
      </c>
      <c r="I6" s="82">
        <v>4</v>
      </c>
      <c r="J6" s="82">
        <v>3.8</v>
      </c>
      <c r="K6" s="82">
        <v>4.3</v>
      </c>
    </row>
    <row r="7" spans="1:11" outlineLevel="1" x14ac:dyDescent="0.35">
      <c r="A7" s="60" t="s">
        <v>17</v>
      </c>
      <c r="B7" s="82">
        <v>3.1</v>
      </c>
      <c r="C7" s="82">
        <v>3.7</v>
      </c>
      <c r="D7" s="82">
        <v>3.7</v>
      </c>
      <c r="E7" s="82">
        <v>3.4</v>
      </c>
      <c r="F7" s="82">
        <v>3.5</v>
      </c>
      <c r="G7" s="82">
        <v>3.8</v>
      </c>
      <c r="H7" s="82">
        <v>4</v>
      </c>
      <c r="I7" s="82">
        <v>4.5999999999999996</v>
      </c>
      <c r="J7" s="82">
        <v>3.6</v>
      </c>
      <c r="K7" s="82">
        <v>4</v>
      </c>
    </row>
    <row r="8" spans="1:11" outlineLevel="1" x14ac:dyDescent="0.35">
      <c r="A8" s="60" t="s">
        <v>18</v>
      </c>
      <c r="B8" s="76">
        <f>IFERROR(AVERAGE(B4:B7),"")</f>
        <v>3.4249999999999998</v>
      </c>
      <c r="C8" s="76">
        <f t="shared" ref="C8:K8" si="0">IFERROR(AVERAGE(C4:C7),"")</f>
        <v>3.5249999999999995</v>
      </c>
      <c r="D8" s="76">
        <f t="shared" si="0"/>
        <v>3.6749999999999998</v>
      </c>
      <c r="E8" s="76">
        <f t="shared" si="0"/>
        <v>3.4</v>
      </c>
      <c r="F8" s="76">
        <f t="shared" si="0"/>
        <v>3.8</v>
      </c>
      <c r="G8" s="76">
        <f t="shared" si="0"/>
        <v>3.9249999999999998</v>
      </c>
      <c r="H8" s="76">
        <f t="shared" si="0"/>
        <v>3.65</v>
      </c>
      <c r="I8" s="76">
        <f t="shared" si="0"/>
        <v>4.55</v>
      </c>
      <c r="J8" s="76">
        <f t="shared" si="0"/>
        <v>3.6</v>
      </c>
      <c r="K8" s="76">
        <f t="shared" si="0"/>
        <v>4.2</v>
      </c>
    </row>
    <row r="9" spans="1:11" outlineLevel="1" x14ac:dyDescent="0.35">
      <c r="A9" s="59" t="s">
        <v>8</v>
      </c>
      <c r="B9" s="60">
        <f t="shared" ref="B9:K9" si="1">+MAX(B4:B8)</f>
        <v>3.6</v>
      </c>
      <c r="C9" s="60">
        <f t="shared" si="1"/>
        <v>3.8</v>
      </c>
      <c r="D9" s="60">
        <f t="shared" si="1"/>
        <v>3.8</v>
      </c>
      <c r="E9" s="60">
        <f t="shared" si="1"/>
        <v>3.4</v>
      </c>
      <c r="F9" s="60">
        <f t="shared" si="1"/>
        <v>4</v>
      </c>
      <c r="G9" s="60">
        <f t="shared" si="1"/>
        <v>4.0999999999999996</v>
      </c>
      <c r="H9" s="60">
        <f t="shared" si="1"/>
        <v>4</v>
      </c>
      <c r="I9" s="60">
        <f t="shared" si="1"/>
        <v>5</v>
      </c>
      <c r="J9" s="60">
        <f t="shared" si="1"/>
        <v>3.8</v>
      </c>
      <c r="K9" s="60">
        <f t="shared" si="1"/>
        <v>4.5999999999999996</v>
      </c>
    </row>
    <row r="10" spans="1:11" outlineLevel="1" x14ac:dyDescent="0.35">
      <c r="A10" s="59" t="s">
        <v>9</v>
      </c>
      <c r="B10" s="60">
        <f t="shared" ref="B10:K10" si="2">+MIN(B4:B8)</f>
        <v>3.1</v>
      </c>
      <c r="C10" s="60">
        <f t="shared" si="2"/>
        <v>3.2</v>
      </c>
      <c r="D10" s="60">
        <f t="shared" si="2"/>
        <v>3.6</v>
      </c>
      <c r="E10" s="60">
        <f t="shared" si="2"/>
        <v>3.4</v>
      </c>
      <c r="F10" s="60">
        <f t="shared" si="2"/>
        <v>3.5</v>
      </c>
      <c r="G10" s="60">
        <f t="shared" si="2"/>
        <v>3.8</v>
      </c>
      <c r="H10" s="60">
        <f t="shared" si="2"/>
        <v>3.5</v>
      </c>
      <c r="I10" s="60">
        <f t="shared" si="2"/>
        <v>4</v>
      </c>
      <c r="J10" s="60">
        <f t="shared" si="2"/>
        <v>3.5</v>
      </c>
      <c r="K10" s="60">
        <f t="shared" si="2"/>
        <v>3.9</v>
      </c>
    </row>
    <row r="11" spans="1:11" outlineLevel="1" x14ac:dyDescent="0.35">
      <c r="A11" s="59" t="s">
        <v>10</v>
      </c>
      <c r="B11" s="62">
        <f t="shared" ref="B11:K11" si="3">IFERROR((SUM(B4:B8)-B9-B10)/(COUNT(B4:B8)-2),0)</f>
        <v>3.4750000000000001</v>
      </c>
      <c r="C11" s="62">
        <f t="shared" si="3"/>
        <v>3.5416666666666656</v>
      </c>
      <c r="D11" s="62">
        <f t="shared" si="3"/>
        <v>3.6583333333333332</v>
      </c>
      <c r="E11" s="62">
        <f t="shared" si="3"/>
        <v>3.4</v>
      </c>
      <c r="F11" s="62">
        <f t="shared" si="3"/>
        <v>3.8333333333333335</v>
      </c>
      <c r="G11" s="62">
        <f t="shared" si="3"/>
        <v>3.9083333333333337</v>
      </c>
      <c r="H11" s="62">
        <f t="shared" si="3"/>
        <v>3.5833333333333335</v>
      </c>
      <c r="I11" s="62">
        <f t="shared" si="3"/>
        <v>4.583333333333333</v>
      </c>
      <c r="J11" s="62">
        <f t="shared" si="3"/>
        <v>3.5666666666666664</v>
      </c>
      <c r="K11" s="62">
        <f t="shared" si="3"/>
        <v>4.1666666666666661</v>
      </c>
    </row>
    <row r="12" spans="1:11" outlineLevel="1" x14ac:dyDescent="0.35">
      <c r="A12" s="59" t="s">
        <v>11</v>
      </c>
      <c r="B12" s="62">
        <f>+B11*3</f>
        <v>10.425000000000001</v>
      </c>
      <c r="C12" s="62">
        <f t="shared" ref="C12:K12" si="4">+C11*3</f>
        <v>10.624999999999996</v>
      </c>
      <c r="D12" s="62">
        <f t="shared" si="4"/>
        <v>10.975</v>
      </c>
      <c r="E12" s="62">
        <f t="shared" si="4"/>
        <v>10.199999999999999</v>
      </c>
      <c r="F12" s="62">
        <f t="shared" si="4"/>
        <v>11.5</v>
      </c>
      <c r="G12" s="62">
        <f t="shared" si="4"/>
        <v>11.725000000000001</v>
      </c>
      <c r="H12" s="62">
        <f t="shared" si="4"/>
        <v>10.75</v>
      </c>
      <c r="I12" s="62">
        <f t="shared" si="4"/>
        <v>13.75</v>
      </c>
      <c r="J12" s="62">
        <f t="shared" si="4"/>
        <v>10.7</v>
      </c>
      <c r="K12" s="62">
        <f t="shared" si="4"/>
        <v>12.499999999999998</v>
      </c>
    </row>
    <row r="14" spans="1:11" outlineLevel="1" x14ac:dyDescent="0.35">
      <c r="A14" s="59" t="s">
        <v>34</v>
      </c>
      <c r="B14" s="74">
        <v>1</v>
      </c>
      <c r="C14" s="74">
        <v>2</v>
      </c>
      <c r="D14" s="74">
        <v>3</v>
      </c>
      <c r="E14" s="74">
        <v>4</v>
      </c>
      <c r="F14" s="74">
        <v>5</v>
      </c>
      <c r="G14" s="74">
        <v>6</v>
      </c>
      <c r="H14" s="74">
        <v>7</v>
      </c>
      <c r="I14" s="74">
        <v>8</v>
      </c>
      <c r="J14" s="74">
        <v>9</v>
      </c>
      <c r="K14" s="74">
        <v>10</v>
      </c>
    </row>
    <row r="15" spans="1:11" outlineLevel="1" x14ac:dyDescent="0.35">
      <c r="A15" s="60" t="s">
        <v>14</v>
      </c>
      <c r="B15" s="82">
        <v>3.4</v>
      </c>
      <c r="C15" s="82">
        <v>4</v>
      </c>
      <c r="D15" s="82">
        <v>3.6</v>
      </c>
      <c r="E15" s="82">
        <v>3.3</v>
      </c>
      <c r="F15" s="82">
        <v>3.8</v>
      </c>
      <c r="G15" s="82">
        <v>4.3</v>
      </c>
      <c r="H15" s="82">
        <v>3.6</v>
      </c>
      <c r="I15" s="82">
        <v>4.5999999999999996</v>
      </c>
      <c r="J15" s="82">
        <v>3.6</v>
      </c>
      <c r="K15" s="82">
        <v>4.7</v>
      </c>
    </row>
    <row r="16" spans="1:11" outlineLevel="1" x14ac:dyDescent="0.35">
      <c r="A16" s="60" t="s">
        <v>15</v>
      </c>
      <c r="B16" s="82">
        <v>3.3</v>
      </c>
      <c r="C16" s="82">
        <v>3.3</v>
      </c>
      <c r="D16" s="82">
        <v>3.4</v>
      </c>
      <c r="E16" s="82">
        <v>3.3</v>
      </c>
      <c r="F16" s="82">
        <v>4</v>
      </c>
      <c r="G16" s="82">
        <v>4.0999999999999996</v>
      </c>
      <c r="H16" s="82">
        <v>3.3</v>
      </c>
      <c r="I16" s="82">
        <v>5</v>
      </c>
      <c r="J16" s="82">
        <v>3.4</v>
      </c>
      <c r="K16" s="82">
        <v>4</v>
      </c>
    </row>
    <row r="17" spans="1:11" outlineLevel="1" x14ac:dyDescent="0.35">
      <c r="A17" s="60" t="s">
        <v>16</v>
      </c>
      <c r="B17" s="82">
        <v>3.4</v>
      </c>
      <c r="C17" s="82">
        <v>3.4</v>
      </c>
      <c r="D17" s="82">
        <v>3.5</v>
      </c>
      <c r="E17" s="82">
        <v>3.6</v>
      </c>
      <c r="F17" s="82">
        <v>4.0999999999999996</v>
      </c>
      <c r="G17" s="82">
        <v>4.2</v>
      </c>
      <c r="H17" s="82">
        <v>3.8</v>
      </c>
      <c r="I17" s="82">
        <v>3.8</v>
      </c>
      <c r="J17" s="82">
        <v>3.5</v>
      </c>
      <c r="K17" s="82">
        <v>4</v>
      </c>
    </row>
    <row r="18" spans="1:11" outlineLevel="1" x14ac:dyDescent="0.35">
      <c r="A18" s="60" t="s">
        <v>17</v>
      </c>
      <c r="B18" s="82">
        <v>3.4</v>
      </c>
      <c r="C18" s="82">
        <v>3.4</v>
      </c>
      <c r="D18" s="82">
        <v>3.5</v>
      </c>
      <c r="E18" s="82">
        <v>3.4</v>
      </c>
      <c r="F18" s="82">
        <v>4</v>
      </c>
      <c r="G18" s="82">
        <v>3.9</v>
      </c>
      <c r="H18" s="82">
        <v>3.4</v>
      </c>
      <c r="I18" s="82">
        <v>4.7</v>
      </c>
      <c r="J18" s="82">
        <v>3.5</v>
      </c>
      <c r="K18" s="82">
        <v>3.9</v>
      </c>
    </row>
    <row r="19" spans="1:11" outlineLevel="1" x14ac:dyDescent="0.35">
      <c r="A19" s="60" t="s">
        <v>18</v>
      </c>
      <c r="B19" s="76">
        <f>IFERROR(AVERAGE(B15:B18),"")</f>
        <v>3.375</v>
      </c>
      <c r="C19" s="76">
        <f t="shared" ref="C19" si="5">IFERROR(AVERAGE(C15:C18),"")</f>
        <v>3.5249999999999999</v>
      </c>
      <c r="D19" s="76">
        <f t="shared" ref="D19" si="6">IFERROR(AVERAGE(D15:D18),"")</f>
        <v>3.5</v>
      </c>
      <c r="E19" s="76">
        <f t="shared" ref="E19" si="7">IFERROR(AVERAGE(E15:E18),"")</f>
        <v>3.4</v>
      </c>
      <c r="F19" s="76">
        <f t="shared" ref="F19" si="8">IFERROR(AVERAGE(F15:F18),"")</f>
        <v>3.9749999999999996</v>
      </c>
      <c r="G19" s="76">
        <f t="shared" ref="G19" si="9">IFERROR(AVERAGE(G15:G18),"")</f>
        <v>4.1249999999999991</v>
      </c>
      <c r="H19" s="76">
        <f t="shared" ref="H19" si="10">IFERROR(AVERAGE(H15:H18),"")</f>
        <v>3.5249999999999999</v>
      </c>
      <c r="I19" s="76">
        <f t="shared" ref="I19" si="11">IFERROR(AVERAGE(I15:I18),"")</f>
        <v>4.5249999999999995</v>
      </c>
      <c r="J19" s="76">
        <f t="shared" ref="J19" si="12">IFERROR(AVERAGE(J15:J18),"")</f>
        <v>3.5</v>
      </c>
      <c r="K19" s="76">
        <f t="shared" ref="K19" si="13">IFERROR(AVERAGE(K15:K18),"")</f>
        <v>4.1499999999999995</v>
      </c>
    </row>
    <row r="20" spans="1:11" outlineLevel="1" x14ac:dyDescent="0.35">
      <c r="A20" s="59" t="s">
        <v>8</v>
      </c>
      <c r="B20" s="60">
        <f t="shared" ref="B20:K20" si="14">+MAX(B15:B19)</f>
        <v>3.4</v>
      </c>
      <c r="C20" s="60">
        <f t="shared" si="14"/>
        <v>4</v>
      </c>
      <c r="D20" s="60">
        <f t="shared" si="14"/>
        <v>3.6</v>
      </c>
      <c r="E20" s="60">
        <f t="shared" si="14"/>
        <v>3.6</v>
      </c>
      <c r="F20" s="60">
        <f t="shared" si="14"/>
        <v>4.0999999999999996</v>
      </c>
      <c r="G20" s="60">
        <f t="shared" si="14"/>
        <v>4.3</v>
      </c>
      <c r="H20" s="60">
        <f t="shared" si="14"/>
        <v>3.8</v>
      </c>
      <c r="I20" s="60">
        <f t="shared" si="14"/>
        <v>5</v>
      </c>
      <c r="J20" s="60">
        <f t="shared" si="14"/>
        <v>3.6</v>
      </c>
      <c r="K20" s="60">
        <f t="shared" si="14"/>
        <v>4.7</v>
      </c>
    </row>
    <row r="21" spans="1:11" outlineLevel="1" x14ac:dyDescent="0.35">
      <c r="A21" s="59" t="s">
        <v>9</v>
      </c>
      <c r="B21" s="60">
        <f t="shared" ref="B21:K21" si="15">+MIN(B15:B19)</f>
        <v>3.3</v>
      </c>
      <c r="C21" s="60">
        <f t="shared" si="15"/>
        <v>3.3</v>
      </c>
      <c r="D21" s="60">
        <f t="shared" si="15"/>
        <v>3.4</v>
      </c>
      <c r="E21" s="60">
        <f t="shared" si="15"/>
        <v>3.3</v>
      </c>
      <c r="F21" s="60">
        <f t="shared" si="15"/>
        <v>3.8</v>
      </c>
      <c r="G21" s="60">
        <f t="shared" si="15"/>
        <v>3.9</v>
      </c>
      <c r="H21" s="60">
        <f t="shared" si="15"/>
        <v>3.3</v>
      </c>
      <c r="I21" s="60">
        <f t="shared" si="15"/>
        <v>3.8</v>
      </c>
      <c r="J21" s="60">
        <f t="shared" si="15"/>
        <v>3.4</v>
      </c>
      <c r="K21" s="60">
        <f t="shared" si="15"/>
        <v>3.9</v>
      </c>
    </row>
    <row r="22" spans="1:11" outlineLevel="1" x14ac:dyDescent="0.35">
      <c r="A22" s="59" t="s">
        <v>10</v>
      </c>
      <c r="B22" s="62">
        <f t="shared" ref="B22:K22" si="16">IFERROR((SUM(B15:B19)-B20-B21)/(COUNT(B15:B19)-2),0)</f>
        <v>3.3916666666666671</v>
      </c>
      <c r="C22" s="62">
        <f t="shared" si="16"/>
        <v>3.4416666666666664</v>
      </c>
      <c r="D22" s="62">
        <f t="shared" si="16"/>
        <v>3.5</v>
      </c>
      <c r="E22" s="62">
        <f t="shared" si="16"/>
        <v>3.3666666666666671</v>
      </c>
      <c r="F22" s="62">
        <f t="shared" si="16"/>
        <v>3.9916666666666671</v>
      </c>
      <c r="G22" s="62">
        <f t="shared" si="16"/>
        <v>4.1416666666666648</v>
      </c>
      <c r="H22" s="62">
        <f t="shared" si="16"/>
        <v>3.5083333333333329</v>
      </c>
      <c r="I22" s="62">
        <f t="shared" si="16"/>
        <v>4.6083333333333316</v>
      </c>
      <c r="J22" s="62">
        <f t="shared" si="16"/>
        <v>3.5</v>
      </c>
      <c r="K22" s="62">
        <f t="shared" si="16"/>
        <v>4.0499999999999989</v>
      </c>
    </row>
    <row r="23" spans="1:11" outlineLevel="1" x14ac:dyDescent="0.35">
      <c r="A23" s="59" t="s">
        <v>11</v>
      </c>
      <c r="B23" s="62">
        <f>+B22*4</f>
        <v>13.566666666666668</v>
      </c>
      <c r="C23" s="62">
        <f t="shared" ref="C23:K23" si="17">+C22*4</f>
        <v>13.766666666666666</v>
      </c>
      <c r="D23" s="62">
        <f t="shared" si="17"/>
        <v>14</v>
      </c>
      <c r="E23" s="62">
        <f t="shared" si="17"/>
        <v>13.466666666666669</v>
      </c>
      <c r="F23" s="62">
        <f t="shared" si="17"/>
        <v>15.966666666666669</v>
      </c>
      <c r="G23" s="62">
        <f t="shared" si="17"/>
        <v>16.566666666666659</v>
      </c>
      <c r="H23" s="62">
        <f t="shared" si="17"/>
        <v>14.033333333333331</v>
      </c>
      <c r="I23" s="62">
        <f t="shared" si="17"/>
        <v>18.433333333333326</v>
      </c>
      <c r="J23" s="62">
        <f t="shared" si="17"/>
        <v>14</v>
      </c>
      <c r="K23" s="62">
        <f t="shared" si="17"/>
        <v>16.199999999999996</v>
      </c>
    </row>
    <row r="25" spans="1:11" outlineLevel="1" x14ac:dyDescent="0.35">
      <c r="A25" s="59" t="s">
        <v>35</v>
      </c>
      <c r="B25" s="74">
        <v>1</v>
      </c>
      <c r="C25" s="74">
        <v>2</v>
      </c>
      <c r="D25" s="74">
        <v>3</v>
      </c>
      <c r="E25" s="74">
        <v>4</v>
      </c>
      <c r="F25" s="74">
        <v>5</v>
      </c>
      <c r="G25" s="74">
        <v>6</v>
      </c>
      <c r="H25" s="74">
        <v>7</v>
      </c>
      <c r="I25" s="74">
        <v>8</v>
      </c>
      <c r="J25" s="74">
        <v>9</v>
      </c>
      <c r="K25" s="74">
        <v>10</v>
      </c>
    </row>
    <row r="26" spans="1:11" outlineLevel="1" x14ac:dyDescent="0.35">
      <c r="A26" s="60" t="s">
        <v>14</v>
      </c>
      <c r="B26" s="82">
        <v>3.4</v>
      </c>
      <c r="C26" s="82">
        <v>4</v>
      </c>
      <c r="D26" s="82">
        <v>3.8</v>
      </c>
      <c r="E26" s="82">
        <v>3.5</v>
      </c>
      <c r="F26" s="82">
        <v>3.8</v>
      </c>
      <c r="G26" s="82">
        <v>4.2</v>
      </c>
      <c r="H26" s="82">
        <v>3.8</v>
      </c>
      <c r="I26" s="82">
        <v>4.5999999999999996</v>
      </c>
      <c r="J26" s="82">
        <v>3.8</v>
      </c>
      <c r="K26" s="82">
        <v>4.8</v>
      </c>
    </row>
    <row r="27" spans="1:11" outlineLevel="1" x14ac:dyDescent="0.35">
      <c r="A27" s="60" t="s">
        <v>15</v>
      </c>
      <c r="B27" s="82">
        <v>3.2</v>
      </c>
      <c r="C27" s="82">
        <v>3.4</v>
      </c>
      <c r="D27" s="82">
        <v>3.8</v>
      </c>
      <c r="E27" s="82">
        <v>3.4</v>
      </c>
      <c r="F27" s="82">
        <v>3.6</v>
      </c>
      <c r="G27" s="82">
        <v>3.7</v>
      </c>
      <c r="H27" s="82">
        <v>3.5</v>
      </c>
      <c r="I27" s="82">
        <v>4.8</v>
      </c>
      <c r="J27" s="82">
        <v>3.4</v>
      </c>
      <c r="K27" s="82">
        <v>3.8</v>
      </c>
    </row>
    <row r="28" spans="1:11" outlineLevel="1" x14ac:dyDescent="0.35">
      <c r="A28" s="60" t="s">
        <v>16</v>
      </c>
      <c r="B28" s="82">
        <v>4</v>
      </c>
      <c r="C28" s="82">
        <v>3.6</v>
      </c>
      <c r="D28" s="82">
        <v>4</v>
      </c>
      <c r="E28" s="82">
        <v>3.8</v>
      </c>
      <c r="F28" s="82">
        <v>4.2</v>
      </c>
      <c r="G28" s="82">
        <v>4.4000000000000004</v>
      </c>
      <c r="H28" s="82">
        <v>4</v>
      </c>
      <c r="I28" s="82">
        <v>4.2</v>
      </c>
      <c r="J28" s="82">
        <v>3.3</v>
      </c>
      <c r="K28" s="82">
        <v>4.5999999999999996</v>
      </c>
    </row>
    <row r="29" spans="1:11" outlineLevel="1" x14ac:dyDescent="0.35">
      <c r="A29" s="60" t="s">
        <v>17</v>
      </c>
      <c r="B29" s="82">
        <v>3</v>
      </c>
      <c r="C29" s="82">
        <v>4.0999999999999996</v>
      </c>
      <c r="D29" s="82">
        <v>3.9</v>
      </c>
      <c r="E29" s="82">
        <v>3.6</v>
      </c>
      <c r="F29" s="82">
        <v>3.8</v>
      </c>
      <c r="G29" s="82">
        <v>3.8</v>
      </c>
      <c r="H29" s="82">
        <v>3.6</v>
      </c>
      <c r="I29" s="82">
        <v>5.2</v>
      </c>
      <c r="J29" s="82">
        <v>3.1</v>
      </c>
      <c r="K29" s="82">
        <v>4.0999999999999996</v>
      </c>
    </row>
    <row r="30" spans="1:11" outlineLevel="1" x14ac:dyDescent="0.35">
      <c r="A30" s="60" t="s">
        <v>18</v>
      </c>
      <c r="B30" s="76">
        <f>IFERROR(AVERAGE(B26:B29),"")</f>
        <v>3.4</v>
      </c>
      <c r="C30" s="76">
        <f t="shared" ref="C30" si="18">IFERROR(AVERAGE(C26:C29),"")</f>
        <v>3.7749999999999999</v>
      </c>
      <c r="D30" s="76">
        <f t="shared" ref="D30" si="19">IFERROR(AVERAGE(D26:D29),"")</f>
        <v>3.875</v>
      </c>
      <c r="E30" s="76">
        <f t="shared" ref="E30" si="20">IFERROR(AVERAGE(E26:E29),"")</f>
        <v>3.5749999999999997</v>
      </c>
      <c r="F30" s="76">
        <f t="shared" ref="F30" si="21">IFERROR(AVERAGE(F26:F29),"")</f>
        <v>3.8500000000000005</v>
      </c>
      <c r="G30" s="76">
        <f t="shared" ref="G30" si="22">IFERROR(AVERAGE(G26:G29),"")</f>
        <v>4.0250000000000004</v>
      </c>
      <c r="H30" s="76">
        <f t="shared" ref="H30" si="23">IFERROR(AVERAGE(H26:H29),"")</f>
        <v>3.7250000000000001</v>
      </c>
      <c r="I30" s="76">
        <f t="shared" ref="I30" si="24">IFERROR(AVERAGE(I26:I29),"")</f>
        <v>4.6999999999999993</v>
      </c>
      <c r="J30" s="76">
        <f t="shared" ref="J30" si="25">IFERROR(AVERAGE(J26:J29),"")</f>
        <v>3.4</v>
      </c>
      <c r="K30" s="76">
        <f t="shared" ref="K30" si="26">IFERROR(AVERAGE(K26:K29),"")</f>
        <v>4.3249999999999993</v>
      </c>
    </row>
    <row r="31" spans="1:11" outlineLevel="1" x14ac:dyDescent="0.35">
      <c r="A31" s="59" t="s">
        <v>8</v>
      </c>
      <c r="B31" s="60">
        <f t="shared" ref="B31:K31" si="27">+MAX(B26:B30)</f>
        <v>4</v>
      </c>
      <c r="C31" s="60">
        <f t="shared" si="27"/>
        <v>4.0999999999999996</v>
      </c>
      <c r="D31" s="60">
        <f t="shared" si="27"/>
        <v>4</v>
      </c>
      <c r="E31" s="60">
        <f t="shared" si="27"/>
        <v>3.8</v>
      </c>
      <c r="F31" s="60">
        <f t="shared" si="27"/>
        <v>4.2</v>
      </c>
      <c r="G31" s="60">
        <f t="shared" si="27"/>
        <v>4.4000000000000004</v>
      </c>
      <c r="H31" s="60">
        <f t="shared" si="27"/>
        <v>4</v>
      </c>
      <c r="I31" s="60">
        <f t="shared" si="27"/>
        <v>5.2</v>
      </c>
      <c r="J31" s="60">
        <f t="shared" si="27"/>
        <v>3.8</v>
      </c>
      <c r="K31" s="60">
        <f t="shared" si="27"/>
        <v>4.8</v>
      </c>
    </row>
    <row r="32" spans="1:11" outlineLevel="1" x14ac:dyDescent="0.35">
      <c r="A32" s="59" t="s">
        <v>9</v>
      </c>
      <c r="B32" s="60">
        <f t="shared" ref="B32:K32" si="28">+MIN(B26:B30)</f>
        <v>3</v>
      </c>
      <c r="C32" s="60">
        <f t="shared" si="28"/>
        <v>3.4</v>
      </c>
      <c r="D32" s="60">
        <f t="shared" si="28"/>
        <v>3.8</v>
      </c>
      <c r="E32" s="60">
        <f t="shared" si="28"/>
        <v>3.4</v>
      </c>
      <c r="F32" s="60">
        <f t="shared" si="28"/>
        <v>3.6</v>
      </c>
      <c r="G32" s="60">
        <f t="shared" si="28"/>
        <v>3.7</v>
      </c>
      <c r="H32" s="60">
        <f t="shared" si="28"/>
        <v>3.5</v>
      </c>
      <c r="I32" s="60">
        <f t="shared" si="28"/>
        <v>4.2</v>
      </c>
      <c r="J32" s="60">
        <f t="shared" si="28"/>
        <v>3.1</v>
      </c>
      <c r="K32" s="60">
        <f t="shared" si="28"/>
        <v>3.8</v>
      </c>
    </row>
    <row r="33" spans="1:11" outlineLevel="1" x14ac:dyDescent="0.35">
      <c r="A33" s="59" t="s">
        <v>10</v>
      </c>
      <c r="B33" s="62">
        <f t="shared" ref="B33:K33" si="29">IFERROR((SUM(B26:B30)-B31-B32)/(COUNT(B26:B30)-2),0)</f>
        <v>3.3333333333333335</v>
      </c>
      <c r="C33" s="62">
        <f t="shared" si="29"/>
        <v>3.7916666666666665</v>
      </c>
      <c r="D33" s="62">
        <f t="shared" si="29"/>
        <v>3.8583333333333329</v>
      </c>
      <c r="E33" s="62">
        <f t="shared" si="29"/>
        <v>3.5583333333333331</v>
      </c>
      <c r="F33" s="62">
        <f t="shared" si="29"/>
        <v>3.8166666666666682</v>
      </c>
      <c r="G33" s="62">
        <f t="shared" si="29"/>
        <v>4.0083333333333329</v>
      </c>
      <c r="H33" s="62">
        <f t="shared" si="29"/>
        <v>3.7083333333333335</v>
      </c>
      <c r="I33" s="62">
        <f t="shared" si="29"/>
        <v>4.6999999999999993</v>
      </c>
      <c r="J33" s="62">
        <f t="shared" si="29"/>
        <v>3.3666666666666667</v>
      </c>
      <c r="K33" s="62">
        <f t="shared" si="29"/>
        <v>4.341666666666665</v>
      </c>
    </row>
    <row r="34" spans="1:11" outlineLevel="1" x14ac:dyDescent="0.35">
      <c r="A34" s="59" t="s">
        <v>11</v>
      </c>
      <c r="B34" s="62">
        <f>+B33*3</f>
        <v>10</v>
      </c>
      <c r="C34" s="62">
        <f t="shared" ref="C34:K34" si="30">+C33*3</f>
        <v>11.375</v>
      </c>
      <c r="D34" s="62">
        <f t="shared" si="30"/>
        <v>11.574999999999999</v>
      </c>
      <c r="E34" s="62">
        <f t="shared" si="30"/>
        <v>10.674999999999999</v>
      </c>
      <c r="F34" s="62">
        <f t="shared" si="30"/>
        <v>11.450000000000005</v>
      </c>
      <c r="G34" s="62">
        <f t="shared" si="30"/>
        <v>12.024999999999999</v>
      </c>
      <c r="H34" s="62">
        <f t="shared" si="30"/>
        <v>11.125</v>
      </c>
      <c r="I34" s="62">
        <f t="shared" si="30"/>
        <v>14.099999999999998</v>
      </c>
      <c r="J34" s="62">
        <f t="shared" si="30"/>
        <v>10.1</v>
      </c>
      <c r="K34" s="62">
        <f t="shared" si="30"/>
        <v>13.024999999999995</v>
      </c>
    </row>
    <row r="36" spans="1:11" x14ac:dyDescent="0.35">
      <c r="A36" s="3" t="s">
        <v>12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5">
      <c r="A37" s="3" t="s">
        <v>13</v>
      </c>
      <c r="B37" s="23">
        <f>ROUND(+B12+B23+B34,3)-B36</f>
        <v>33.991999999999997</v>
      </c>
      <c r="C37" s="23">
        <f t="shared" ref="C37:K37" si="31">ROUND(+C12+C23+C34,3)-C36</f>
        <v>35.767000000000003</v>
      </c>
      <c r="D37" s="23">
        <f t="shared" si="31"/>
        <v>36.549999999999997</v>
      </c>
      <c r="E37" s="23">
        <f t="shared" si="31"/>
        <v>34.341999999999999</v>
      </c>
      <c r="F37" s="23">
        <f t="shared" si="31"/>
        <v>38.917000000000002</v>
      </c>
      <c r="G37" s="23">
        <f t="shared" si="31"/>
        <v>40.317</v>
      </c>
      <c r="H37" s="23">
        <f t="shared" si="31"/>
        <v>35.908000000000001</v>
      </c>
      <c r="I37" s="23">
        <f t="shared" si="31"/>
        <v>46.283000000000001</v>
      </c>
      <c r="J37" s="23">
        <f t="shared" si="31"/>
        <v>34.799999999999997</v>
      </c>
      <c r="K37" s="23">
        <f t="shared" si="31"/>
        <v>41.725000000000001</v>
      </c>
    </row>
  </sheetData>
  <sheetProtection password="D8D7" sheet="1" objects="1" scenarios="1" selectLockedCells="1"/>
  <pageMargins left="0.7" right="0.7" top="0.75" bottom="0.75" header="0.3" footer="0.3"/>
  <pageSetup scale="81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opLeftCell="A8" workbookViewId="0">
      <selection activeCell="D2" sqref="D2"/>
    </sheetView>
  </sheetViews>
  <sheetFormatPr defaultColWidth="9.1796875" defaultRowHeight="14.5" x14ac:dyDescent="0.35"/>
  <cols>
    <col min="1" max="1" width="1.54296875" style="49" customWidth="1"/>
    <col min="2" max="2" width="26.81640625" style="49" bestFit="1" customWidth="1"/>
    <col min="3" max="3" width="16.81640625" style="49" customWidth="1"/>
    <col min="4" max="4" width="15.7265625" style="49" customWidth="1"/>
    <col min="5" max="7" width="14.7265625" style="49" customWidth="1"/>
    <col min="8" max="8" width="20.54296875" style="49" customWidth="1"/>
    <col min="9" max="9" width="16.7265625" style="49" customWidth="1"/>
    <col min="10" max="10" width="9.1796875" style="49"/>
    <col min="11" max="11" width="21.81640625" style="49" customWidth="1"/>
    <col min="12" max="16384" width="9.1796875" style="49"/>
  </cols>
  <sheetData>
    <row r="1" spans="1:14" x14ac:dyDescent="0.35">
      <c r="B1" s="52"/>
      <c r="C1" s="7" t="s">
        <v>33</v>
      </c>
      <c r="D1" s="7" t="s">
        <v>76</v>
      </c>
      <c r="E1" s="7" t="s">
        <v>35</v>
      </c>
    </row>
    <row r="2" spans="1:14" x14ac:dyDescent="0.35">
      <c r="B2" s="52" t="s">
        <v>14</v>
      </c>
      <c r="C2" s="82"/>
      <c r="D2" s="82"/>
      <c r="E2" s="82"/>
      <c r="K2" s="6"/>
    </row>
    <row r="3" spans="1:14" x14ac:dyDescent="0.35">
      <c r="B3" s="52" t="s">
        <v>15</v>
      </c>
      <c r="C3" s="82"/>
      <c r="D3" s="82"/>
      <c r="E3" s="82"/>
      <c r="K3" s="6"/>
    </row>
    <row r="4" spans="1:14" x14ac:dyDescent="0.35">
      <c r="B4" s="52" t="s">
        <v>16</v>
      </c>
      <c r="C4" s="82"/>
      <c r="D4" s="82"/>
      <c r="E4" s="82"/>
      <c r="K4" s="6"/>
    </row>
    <row r="5" spans="1:14" x14ac:dyDescent="0.35">
      <c r="B5" s="52" t="s">
        <v>17</v>
      </c>
      <c r="C5" s="82"/>
      <c r="D5" s="82"/>
      <c r="E5" s="82"/>
    </row>
    <row r="6" spans="1:14" x14ac:dyDescent="0.35">
      <c r="E6" s="58"/>
      <c r="F6" s="58"/>
      <c r="G6" s="58"/>
      <c r="H6" s="58"/>
      <c r="I6" s="58"/>
    </row>
    <row r="7" spans="1:14" x14ac:dyDescent="0.35">
      <c r="E7" s="58"/>
      <c r="F7" s="58"/>
      <c r="G7" s="58"/>
      <c r="H7" s="58"/>
      <c r="I7" s="58"/>
    </row>
    <row r="8" spans="1:14" x14ac:dyDescent="0.35">
      <c r="B8" s="7" t="s">
        <v>0</v>
      </c>
      <c r="C8" s="19" t="str">
        <f>'U10 U12'!E19</f>
        <v>SSA Level 1</v>
      </c>
      <c r="E8" s="87" t="s">
        <v>148</v>
      </c>
      <c r="F8" s="58"/>
      <c r="G8" s="58"/>
      <c r="H8" s="58"/>
      <c r="I8" s="58"/>
    </row>
    <row r="9" spans="1:14" x14ac:dyDescent="0.35">
      <c r="B9" s="7" t="s">
        <v>19</v>
      </c>
      <c r="C9" s="19" t="str">
        <f>'U10 U12'!E20</f>
        <v>12 - 13 March 2016</v>
      </c>
      <c r="E9" s="58"/>
      <c r="F9" s="58"/>
      <c r="G9" s="58"/>
      <c r="H9" s="58"/>
      <c r="I9" s="58"/>
    </row>
    <row r="10" spans="1:14" x14ac:dyDescent="0.35">
      <c r="B10" s="7" t="s">
        <v>1</v>
      </c>
      <c r="C10" s="19" t="s">
        <v>174</v>
      </c>
      <c r="E10" s="58"/>
      <c r="F10" s="58"/>
      <c r="G10" s="58"/>
      <c r="H10" s="58"/>
      <c r="I10" s="50"/>
      <c r="J10" s="50"/>
    </row>
    <row r="11" spans="1:14" x14ac:dyDescent="0.35">
      <c r="E11" s="58"/>
      <c r="F11" s="58"/>
      <c r="G11" s="58"/>
      <c r="H11" s="58"/>
      <c r="I11" s="58"/>
      <c r="J11" s="50"/>
    </row>
    <row r="12" spans="1:14" x14ac:dyDescent="0.35">
      <c r="E12" s="58"/>
      <c r="F12" s="58"/>
      <c r="G12" s="58"/>
      <c r="H12" s="58"/>
      <c r="I12" s="58"/>
      <c r="J12" s="50"/>
    </row>
    <row r="13" spans="1:14" x14ac:dyDescent="0.35">
      <c r="B13" s="11" t="s">
        <v>2</v>
      </c>
      <c r="C13" s="81" t="s">
        <v>6</v>
      </c>
      <c r="D13" s="8" t="s">
        <v>154</v>
      </c>
      <c r="E13" s="8" t="s">
        <v>134</v>
      </c>
      <c r="F13" s="8" t="s">
        <v>11</v>
      </c>
      <c r="G13" s="58"/>
      <c r="H13" s="58"/>
      <c r="I13" s="58"/>
      <c r="J13" s="50"/>
      <c r="L13" s="50"/>
    </row>
    <row r="14" spans="1:14" x14ac:dyDescent="0.35">
      <c r="A14" s="49">
        <v>4</v>
      </c>
      <c r="B14" s="54" t="s">
        <v>109</v>
      </c>
      <c r="C14" s="83">
        <v>6</v>
      </c>
      <c r="D14" s="53" t="str">
        <f>VLOOKUP($B14,Competitiors!$A$4:$C$45,3,FALSE)</f>
        <v>13 -15</v>
      </c>
      <c r="E14" s="52" t="str">
        <f>VLOOKUP($B14,Competitiors!$A$4:$C$45,2,FALSE)</f>
        <v>DGC</v>
      </c>
      <c r="F14" s="22">
        <f>IFERROR(HLOOKUP($C14,'13-18 Solo Scores'!$B$3:$J$37,35,FALSE),"")</f>
        <v>46</v>
      </c>
      <c r="G14" s="58"/>
      <c r="H14" s="58"/>
      <c r="I14" s="58"/>
      <c r="J14" s="50"/>
      <c r="L14" s="50"/>
      <c r="N14" s="50"/>
    </row>
    <row r="15" spans="1:14" x14ac:dyDescent="0.35">
      <c r="A15" s="49">
        <v>9</v>
      </c>
      <c r="B15" s="54" t="s">
        <v>111</v>
      </c>
      <c r="C15" s="83">
        <v>4</v>
      </c>
      <c r="D15" s="53" t="str">
        <f>VLOOKUP($B15,Competitiors!$A$4:$C$45,3,FALSE)</f>
        <v>13 - 15</v>
      </c>
      <c r="E15" s="52" t="str">
        <f>VLOOKUP($B15,Competitiors!$A$4:$C$45,2,FALSE)</f>
        <v>DGC</v>
      </c>
      <c r="F15" s="22">
        <f>IFERROR(HLOOKUP($C15,'13-18 Solo Scores'!$B$3:$J$37,35,FALSE),"")</f>
        <v>40.200000000000003</v>
      </c>
      <c r="G15" s="58"/>
      <c r="H15" s="58"/>
      <c r="I15" s="58"/>
      <c r="J15" s="50"/>
      <c r="L15" s="50"/>
      <c r="N15" s="50"/>
    </row>
    <row r="16" spans="1:14" x14ac:dyDescent="0.35">
      <c r="A16" s="49">
        <v>1</v>
      </c>
      <c r="B16" s="54" t="s">
        <v>115</v>
      </c>
      <c r="C16" s="83">
        <v>7</v>
      </c>
      <c r="D16" s="53" t="str">
        <f>VLOOKUP($B16,Competitiors!$A$4:$C$45,3,FALSE)</f>
        <v>13 - 15</v>
      </c>
      <c r="E16" s="52" t="str">
        <f>VLOOKUP($B16,Competitiors!$A$4:$C$45,2,FALSE)</f>
        <v>Umlazi Sharks</v>
      </c>
      <c r="F16" s="22">
        <f>IFERROR(HLOOKUP($C16,'13-18 Solo Scores'!$B$3:$J$37,35,FALSE),"")</f>
        <v>36.142000000000003</v>
      </c>
      <c r="G16" s="58"/>
      <c r="H16" s="58"/>
      <c r="I16" s="58"/>
      <c r="J16" s="50"/>
      <c r="L16" s="50"/>
      <c r="N16" s="50"/>
    </row>
    <row r="17" spans="1:14" x14ac:dyDescent="0.35">
      <c r="A17" s="49">
        <v>6</v>
      </c>
      <c r="B17" s="54" t="s">
        <v>117</v>
      </c>
      <c r="C17" s="83">
        <v>5</v>
      </c>
      <c r="D17" s="53" t="str">
        <f>VLOOKUP($B17,Competitiors!$A$4:$C$45,3,FALSE)</f>
        <v>13 - 15</v>
      </c>
      <c r="E17" s="52" t="str">
        <f>VLOOKUP($B17,Competitiors!$A$4:$C$45,2,FALSE)</f>
        <v>Umlazi Sharks</v>
      </c>
      <c r="F17" s="22">
        <f>IFERROR(HLOOKUP($C17,'13-18 Solo Scores'!$B$3:$J$37,35,FALSE),"")</f>
        <v>35.457999999999998</v>
      </c>
      <c r="G17" s="58"/>
      <c r="H17" s="58"/>
      <c r="I17" s="58"/>
      <c r="J17" s="50"/>
      <c r="L17" s="50"/>
      <c r="N17" s="50"/>
    </row>
    <row r="18" spans="1:14" x14ac:dyDescent="0.35">
      <c r="A18" s="49">
        <v>8</v>
      </c>
      <c r="B18" s="54" t="s">
        <v>118</v>
      </c>
      <c r="C18" s="83">
        <v>2</v>
      </c>
      <c r="D18" s="53" t="str">
        <f>VLOOKUP($B18,Competitiors!$A$4:$C$45,3,FALSE)</f>
        <v>13 - 15</v>
      </c>
      <c r="E18" s="52" t="str">
        <f>VLOOKUP($B18,Competitiors!$A$4:$C$45,2,FALSE)</f>
        <v>Umlazi Sharks</v>
      </c>
      <c r="F18" s="22">
        <f>IFERROR(HLOOKUP($C18,'13-18 Solo Scores'!$B$3:$J$37,35,FALSE),"")</f>
        <v>38.067</v>
      </c>
      <c r="G18" s="58"/>
      <c r="H18" s="58"/>
      <c r="I18" s="58"/>
      <c r="J18" s="50"/>
      <c r="L18" s="50"/>
      <c r="N18" s="50"/>
    </row>
    <row r="19" spans="1:14" x14ac:dyDescent="0.35">
      <c r="A19" s="49">
        <v>11</v>
      </c>
      <c r="B19" s="52" t="s">
        <v>119</v>
      </c>
      <c r="C19" s="83">
        <v>1</v>
      </c>
      <c r="D19" s="53" t="str">
        <f>VLOOKUP($B19,Competitiors!$A$4:$C$45,3,FALSE)</f>
        <v>13 - 15</v>
      </c>
      <c r="E19" s="52" t="str">
        <f>VLOOKUP($B19,Competitiors!$A$4:$C$45,2,FALSE)</f>
        <v>Synchronacity</v>
      </c>
      <c r="F19" s="22">
        <f>IFERROR(HLOOKUP($C19,'13-18 Solo Scores'!$B$3:$J$37,35,FALSE),"")</f>
        <v>38.332999999999998</v>
      </c>
      <c r="G19" s="58"/>
      <c r="H19" s="58"/>
      <c r="I19" s="58"/>
      <c r="J19" s="50"/>
    </row>
    <row r="20" spans="1:14" x14ac:dyDescent="0.35">
      <c r="A20" s="49">
        <v>10</v>
      </c>
      <c r="B20" s="52" t="s">
        <v>120</v>
      </c>
      <c r="C20" s="83">
        <v>8</v>
      </c>
      <c r="D20" s="53" t="str">
        <f>VLOOKUP($B20,Competitiors!$A$4:$C$45,3,FALSE)</f>
        <v>13 - 15</v>
      </c>
      <c r="E20" s="52" t="str">
        <f>VLOOKUP($B20,Competitiors!$A$4:$C$45,2,FALSE)</f>
        <v>Synchronacity</v>
      </c>
      <c r="F20" s="22">
        <f>IFERROR(HLOOKUP($C20,'13-18 Solo Scores'!$B$3:$J$37,35,FALSE),"")</f>
        <v>43.5</v>
      </c>
      <c r="G20" s="58"/>
      <c r="H20" s="58"/>
      <c r="I20" s="58"/>
      <c r="J20" s="50"/>
      <c r="L20" s="50"/>
      <c r="N20" s="50"/>
    </row>
    <row r="21" spans="1:14" x14ac:dyDescent="0.35">
      <c r="A21" s="49">
        <v>3</v>
      </c>
      <c r="B21" s="52" t="s">
        <v>121</v>
      </c>
      <c r="C21" s="83">
        <v>3</v>
      </c>
      <c r="D21" s="53" t="str">
        <f>VLOOKUP($B21,Competitiors!$A$4:$C$45,3,FALSE)</f>
        <v>13 - 15</v>
      </c>
      <c r="E21" s="52" t="str">
        <f>VLOOKUP($B21,Competitiors!$A$4:$C$45,2,FALSE)</f>
        <v>Synchronacity</v>
      </c>
      <c r="F21" s="22">
        <f>IFERROR(HLOOKUP($C21,'13-18 Solo Scores'!$B$3:$J$37,35,FALSE),"")</f>
        <v>38.357999999999997</v>
      </c>
      <c r="G21" s="58"/>
      <c r="H21" s="58"/>
      <c r="I21" s="58"/>
      <c r="J21" s="50"/>
      <c r="L21" s="50"/>
      <c r="N21" s="50"/>
    </row>
    <row r="22" spans="1:14" x14ac:dyDescent="0.35">
      <c r="A22" s="49">
        <v>2</v>
      </c>
      <c r="B22" s="52" t="s">
        <v>123</v>
      </c>
      <c r="C22" s="83">
        <v>9</v>
      </c>
      <c r="D22" s="53" t="str">
        <f>VLOOKUP($B22,Competitiors!$A$4:$C$45,3,FALSE)</f>
        <v>16 - 18</v>
      </c>
      <c r="E22" s="52" t="str">
        <f>VLOOKUP($B22,Competitiors!$A$4:$C$45,2,FALSE)</f>
        <v>Synchronacity</v>
      </c>
      <c r="F22" s="22">
        <f>IFERROR(HLOOKUP($C22,'13-18 Solo Scores'!$B$3:$J$37,35,FALSE),"")</f>
        <v>46.825000000000003</v>
      </c>
      <c r="G22" s="58"/>
      <c r="H22" s="58"/>
      <c r="I22" s="58"/>
      <c r="J22" s="50"/>
      <c r="L22" s="50"/>
      <c r="N22" s="50"/>
    </row>
    <row r="23" spans="1:14" x14ac:dyDescent="0.35">
      <c r="C23" s="50"/>
      <c r="D23" s="13" t="str">
        <f>IFERROR(HLOOKUP($C23,'13-18 Solo Scores'!$B$3:$J$37,44,FALSE),"")</f>
        <v/>
      </c>
      <c r="E23" s="13"/>
      <c r="F23" s="13"/>
      <c r="G23" s="58"/>
      <c r="H23" s="58"/>
      <c r="I23" s="58"/>
      <c r="J23" s="50"/>
      <c r="L23" s="50"/>
      <c r="N23" s="50"/>
    </row>
    <row r="24" spans="1:14" x14ac:dyDescent="0.35">
      <c r="G24" s="58"/>
      <c r="H24" s="58"/>
      <c r="I24" s="58"/>
    </row>
    <row r="25" spans="1:14" x14ac:dyDescent="0.35">
      <c r="G25" s="58"/>
      <c r="H25" s="58"/>
      <c r="I25" s="58"/>
    </row>
  </sheetData>
  <sheetProtection password="D8D7" sheet="1" objects="1" scenarios="1" selectLockedCells="1"/>
  <pageMargins left="0.7" right="0.7" top="0.75" bottom="0.75" header="0.3" footer="0.3"/>
  <pageSetup paperSize="9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zoomScaleNormal="100" zoomScaleSheetLayoutView="100" workbookViewId="0">
      <pane xSplit="1" ySplit="3" topLeftCell="B16" activePane="bottomRight" state="frozen"/>
      <selection activeCell="C14" sqref="C14:C23"/>
      <selection pane="topRight" activeCell="C14" sqref="C14:C23"/>
      <selection pane="bottomLeft" activeCell="C14" sqref="C14:C23"/>
      <selection pane="bottomRight" activeCell="J27" sqref="J27"/>
    </sheetView>
  </sheetViews>
  <sheetFormatPr defaultColWidth="9.1796875" defaultRowHeight="14.5" outlineLevelRow="1" x14ac:dyDescent="0.35"/>
  <cols>
    <col min="1" max="1" width="23.453125" style="2" bestFit="1" customWidth="1"/>
    <col min="2" max="10" width="12.7265625" style="2" customWidth="1"/>
    <col min="11" max="16384" width="9.1796875" style="2"/>
  </cols>
  <sheetData>
    <row r="1" spans="1:10" ht="21" x14ac:dyDescent="0.5">
      <c r="A1" s="43" t="s">
        <v>167</v>
      </c>
      <c r="B1" s="43" t="s">
        <v>184</v>
      </c>
    </row>
    <row r="3" spans="1:10" outlineLevel="1" x14ac:dyDescent="0.35">
      <c r="A3" s="59" t="s">
        <v>33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</row>
    <row r="4" spans="1:10" outlineLevel="1" x14ac:dyDescent="0.35">
      <c r="A4" s="60" t="s">
        <v>14</v>
      </c>
      <c r="B4" s="82">
        <v>4.2</v>
      </c>
      <c r="C4" s="82">
        <v>3.8</v>
      </c>
      <c r="D4" s="82">
        <v>3.9</v>
      </c>
      <c r="E4" s="82">
        <v>4.2</v>
      </c>
      <c r="F4" s="82">
        <v>3.4</v>
      </c>
      <c r="G4" s="82">
        <v>4.5999999999999996</v>
      </c>
      <c r="H4" s="82">
        <v>3.4</v>
      </c>
      <c r="I4" s="82">
        <v>4</v>
      </c>
      <c r="J4" s="82">
        <v>4.5999999999999996</v>
      </c>
    </row>
    <row r="5" spans="1:10" outlineLevel="1" x14ac:dyDescent="0.35">
      <c r="A5" s="60" t="s">
        <v>15</v>
      </c>
      <c r="B5" s="82">
        <v>3.5</v>
      </c>
      <c r="C5" s="82">
        <v>3.4</v>
      </c>
      <c r="D5" s="82">
        <v>3.7</v>
      </c>
      <c r="E5" s="82">
        <v>3.9</v>
      </c>
      <c r="F5" s="82">
        <v>3.5</v>
      </c>
      <c r="G5" s="82">
        <v>4.4000000000000004</v>
      </c>
      <c r="H5" s="82">
        <v>3.5</v>
      </c>
      <c r="I5" s="82">
        <v>3.9</v>
      </c>
      <c r="J5" s="82">
        <v>5.3</v>
      </c>
    </row>
    <row r="6" spans="1:10" outlineLevel="1" x14ac:dyDescent="0.35">
      <c r="A6" s="60" t="s">
        <v>16</v>
      </c>
      <c r="B6" s="82">
        <v>3.4</v>
      </c>
      <c r="C6" s="82">
        <v>3.6</v>
      </c>
      <c r="D6" s="82">
        <v>3.5</v>
      </c>
      <c r="E6" s="82">
        <v>4.2</v>
      </c>
      <c r="F6" s="82">
        <v>3.3</v>
      </c>
      <c r="G6" s="82">
        <v>4.5999999999999996</v>
      </c>
      <c r="H6" s="82">
        <v>3.6</v>
      </c>
      <c r="I6" s="82">
        <v>4.5</v>
      </c>
      <c r="J6" s="82">
        <v>4.5999999999999996</v>
      </c>
    </row>
    <row r="7" spans="1:10" outlineLevel="1" x14ac:dyDescent="0.35">
      <c r="A7" s="60" t="s">
        <v>17</v>
      </c>
      <c r="B7" s="82">
        <v>4</v>
      </c>
      <c r="C7" s="82">
        <v>3.9</v>
      </c>
      <c r="D7" s="82">
        <v>3.7</v>
      </c>
      <c r="E7" s="82">
        <v>3.6</v>
      </c>
      <c r="F7" s="82">
        <v>3.6</v>
      </c>
      <c r="G7" s="82">
        <v>4.3</v>
      </c>
      <c r="H7" s="82">
        <v>3.5</v>
      </c>
      <c r="I7" s="82">
        <v>4.7</v>
      </c>
      <c r="J7" s="82">
        <v>3.9</v>
      </c>
    </row>
    <row r="8" spans="1:10" outlineLevel="1" x14ac:dyDescent="0.35">
      <c r="A8" s="60" t="s">
        <v>18</v>
      </c>
      <c r="B8" s="76">
        <f>IFERROR(AVERAGE(B4:B7),"")</f>
        <v>3.7749999999999999</v>
      </c>
      <c r="C8" s="76">
        <f t="shared" ref="C8:J8" si="0">IFERROR(AVERAGE(C4:C7),"")</f>
        <v>3.6749999999999998</v>
      </c>
      <c r="D8" s="76">
        <f t="shared" si="0"/>
        <v>3.7</v>
      </c>
      <c r="E8" s="76">
        <f t="shared" si="0"/>
        <v>3.9750000000000001</v>
      </c>
      <c r="F8" s="76">
        <f t="shared" si="0"/>
        <v>3.4499999999999997</v>
      </c>
      <c r="G8" s="76">
        <f t="shared" si="0"/>
        <v>4.4749999999999996</v>
      </c>
      <c r="H8" s="76">
        <f t="shared" si="0"/>
        <v>3.5</v>
      </c>
      <c r="I8" s="76">
        <f t="shared" si="0"/>
        <v>4.2750000000000004</v>
      </c>
      <c r="J8" s="76">
        <f t="shared" si="0"/>
        <v>4.5999999999999996</v>
      </c>
    </row>
    <row r="9" spans="1:10" outlineLevel="1" x14ac:dyDescent="0.35">
      <c r="A9" s="59" t="s">
        <v>8</v>
      </c>
      <c r="B9" s="60">
        <f>+MAX(B4:B8)</f>
        <v>4.2</v>
      </c>
      <c r="C9" s="60">
        <f t="shared" ref="C9:J9" si="1">+MAX(C4:C8)</f>
        <v>3.9</v>
      </c>
      <c r="D9" s="60">
        <f t="shared" si="1"/>
        <v>3.9</v>
      </c>
      <c r="E9" s="60">
        <f t="shared" si="1"/>
        <v>4.2</v>
      </c>
      <c r="F9" s="60">
        <f t="shared" si="1"/>
        <v>3.6</v>
      </c>
      <c r="G9" s="60">
        <f t="shared" si="1"/>
        <v>4.5999999999999996</v>
      </c>
      <c r="H9" s="60">
        <f t="shared" si="1"/>
        <v>3.6</v>
      </c>
      <c r="I9" s="60">
        <f t="shared" si="1"/>
        <v>4.7</v>
      </c>
      <c r="J9" s="60">
        <f t="shared" si="1"/>
        <v>5.3</v>
      </c>
    </row>
    <row r="10" spans="1:10" outlineLevel="1" x14ac:dyDescent="0.35">
      <c r="A10" s="59" t="s">
        <v>9</v>
      </c>
      <c r="B10" s="60">
        <f>+MIN(B4:B8)</f>
        <v>3.4</v>
      </c>
      <c r="C10" s="60">
        <f t="shared" ref="C10:J10" si="2">+MIN(C4:C8)</f>
        <v>3.4</v>
      </c>
      <c r="D10" s="60">
        <f t="shared" si="2"/>
        <v>3.5</v>
      </c>
      <c r="E10" s="60">
        <f t="shared" si="2"/>
        <v>3.6</v>
      </c>
      <c r="F10" s="60">
        <f t="shared" si="2"/>
        <v>3.3</v>
      </c>
      <c r="G10" s="60">
        <f t="shared" si="2"/>
        <v>4.3</v>
      </c>
      <c r="H10" s="60">
        <f t="shared" si="2"/>
        <v>3.4</v>
      </c>
      <c r="I10" s="60">
        <f t="shared" si="2"/>
        <v>3.9</v>
      </c>
      <c r="J10" s="60">
        <f t="shared" si="2"/>
        <v>3.9</v>
      </c>
    </row>
    <row r="11" spans="1:10" outlineLevel="1" x14ac:dyDescent="0.35">
      <c r="A11" s="59" t="s">
        <v>10</v>
      </c>
      <c r="B11" s="62">
        <f>IFERROR((SUM(B4:B8)-B9-B10)/(COUNT(B4:B8)-2),0)</f>
        <v>3.7583333333333333</v>
      </c>
      <c r="C11" s="62">
        <f t="shared" ref="C11:J11" si="3">IFERROR((SUM(C4:C8)-C9-C10)/(COUNT(C4:C8)-2),0)</f>
        <v>3.6916666666666664</v>
      </c>
      <c r="D11" s="62">
        <f t="shared" si="3"/>
        <v>3.6999999999999997</v>
      </c>
      <c r="E11" s="62">
        <f t="shared" si="3"/>
        <v>4.0250000000000004</v>
      </c>
      <c r="F11" s="62">
        <f t="shared" si="3"/>
        <v>3.4500000000000006</v>
      </c>
      <c r="G11" s="62">
        <f t="shared" si="3"/>
        <v>4.4916666666666663</v>
      </c>
      <c r="H11" s="62">
        <f t="shared" si="3"/>
        <v>3.5</v>
      </c>
      <c r="I11" s="62">
        <f t="shared" si="3"/>
        <v>4.2583333333333337</v>
      </c>
      <c r="J11" s="62">
        <f t="shared" si="3"/>
        <v>4.5999999999999996</v>
      </c>
    </row>
    <row r="12" spans="1:10" outlineLevel="1" x14ac:dyDescent="0.35">
      <c r="A12" s="59" t="s">
        <v>11</v>
      </c>
      <c r="B12" s="62">
        <f>+B11*3</f>
        <v>11.275</v>
      </c>
      <c r="C12" s="62">
        <f t="shared" ref="C12:J12" si="4">+C11*3</f>
        <v>11.074999999999999</v>
      </c>
      <c r="D12" s="62">
        <f t="shared" si="4"/>
        <v>11.1</v>
      </c>
      <c r="E12" s="62">
        <f t="shared" si="4"/>
        <v>12.075000000000001</v>
      </c>
      <c r="F12" s="62">
        <f t="shared" si="4"/>
        <v>10.350000000000001</v>
      </c>
      <c r="G12" s="62">
        <f t="shared" si="4"/>
        <v>13.474999999999998</v>
      </c>
      <c r="H12" s="62">
        <f t="shared" si="4"/>
        <v>10.5</v>
      </c>
      <c r="I12" s="62">
        <f t="shared" si="4"/>
        <v>12.775000000000002</v>
      </c>
      <c r="J12" s="62">
        <f t="shared" si="4"/>
        <v>13.799999999999999</v>
      </c>
    </row>
    <row r="14" spans="1:10" outlineLevel="1" x14ac:dyDescent="0.35">
      <c r="A14" s="59" t="s">
        <v>34</v>
      </c>
      <c r="B14" s="74">
        <v>1</v>
      </c>
      <c r="C14" s="74">
        <v>2</v>
      </c>
      <c r="D14" s="74">
        <v>3</v>
      </c>
      <c r="E14" s="74">
        <v>4</v>
      </c>
      <c r="F14" s="74">
        <v>5</v>
      </c>
      <c r="G14" s="74">
        <v>6</v>
      </c>
      <c r="H14" s="74">
        <v>7</v>
      </c>
      <c r="I14" s="74">
        <v>8</v>
      </c>
      <c r="J14" s="74">
        <v>9</v>
      </c>
    </row>
    <row r="15" spans="1:10" outlineLevel="1" x14ac:dyDescent="0.35">
      <c r="A15" s="60" t="s">
        <v>14</v>
      </c>
      <c r="B15" s="82">
        <v>4</v>
      </c>
      <c r="C15" s="82">
        <v>3.6</v>
      </c>
      <c r="D15" s="82">
        <v>4</v>
      </c>
      <c r="E15" s="82">
        <v>4.4000000000000004</v>
      </c>
      <c r="F15" s="82">
        <v>3.6</v>
      </c>
      <c r="G15" s="82">
        <v>4.5999999999999996</v>
      </c>
      <c r="H15" s="82">
        <v>3.3</v>
      </c>
      <c r="I15" s="82">
        <v>4</v>
      </c>
      <c r="J15" s="82">
        <v>4.5</v>
      </c>
    </row>
    <row r="16" spans="1:10" outlineLevel="1" x14ac:dyDescent="0.35">
      <c r="A16" s="60" t="s">
        <v>15</v>
      </c>
      <c r="B16" s="82">
        <v>3.7</v>
      </c>
      <c r="C16" s="82">
        <v>3.9</v>
      </c>
      <c r="D16" s="82">
        <v>4.2</v>
      </c>
      <c r="E16" s="82">
        <v>4</v>
      </c>
      <c r="F16" s="82">
        <v>3.7</v>
      </c>
      <c r="G16" s="82">
        <v>4.7</v>
      </c>
      <c r="H16" s="82">
        <v>3.7</v>
      </c>
      <c r="I16" s="82">
        <v>4.3</v>
      </c>
      <c r="J16" s="82">
        <v>5.6</v>
      </c>
    </row>
    <row r="17" spans="1:10" outlineLevel="1" x14ac:dyDescent="0.35">
      <c r="A17" s="60" t="s">
        <v>16</v>
      </c>
      <c r="B17" s="82">
        <v>3.8</v>
      </c>
      <c r="C17" s="82">
        <v>3.4</v>
      </c>
      <c r="D17" s="82">
        <v>3.9</v>
      </c>
      <c r="E17" s="82">
        <v>3.6</v>
      </c>
      <c r="F17" s="82">
        <v>3.4</v>
      </c>
      <c r="G17" s="82">
        <v>4.4000000000000004</v>
      </c>
      <c r="H17" s="82">
        <v>3.5</v>
      </c>
      <c r="I17" s="82">
        <v>4.5999999999999996</v>
      </c>
      <c r="J17" s="82">
        <v>4.3</v>
      </c>
    </row>
    <row r="18" spans="1:10" outlineLevel="1" x14ac:dyDescent="0.35">
      <c r="A18" s="60" t="s">
        <v>17</v>
      </c>
      <c r="B18" s="82">
        <v>3.6</v>
      </c>
      <c r="C18" s="82">
        <v>4</v>
      </c>
      <c r="D18" s="82">
        <v>4</v>
      </c>
      <c r="E18" s="82">
        <v>4</v>
      </c>
      <c r="F18" s="82">
        <v>3.7</v>
      </c>
      <c r="G18" s="82">
        <v>4.5</v>
      </c>
      <c r="H18" s="82">
        <v>3.6</v>
      </c>
      <c r="I18" s="82">
        <v>4.5999999999999996</v>
      </c>
      <c r="J18" s="82">
        <v>4.0999999999999996</v>
      </c>
    </row>
    <row r="19" spans="1:10" outlineLevel="1" x14ac:dyDescent="0.35">
      <c r="A19" s="60" t="s">
        <v>18</v>
      </c>
      <c r="B19" s="76">
        <f>IFERROR(AVERAGE(B15:B18),"")</f>
        <v>3.7749999999999999</v>
      </c>
      <c r="C19" s="76">
        <f t="shared" ref="C19" si="5">IFERROR(AVERAGE(C15:C18),"")</f>
        <v>3.7250000000000001</v>
      </c>
      <c r="D19" s="76">
        <f t="shared" ref="D19" si="6">IFERROR(AVERAGE(D15:D18),"")</f>
        <v>4.0250000000000004</v>
      </c>
      <c r="E19" s="76">
        <f t="shared" ref="E19" si="7">IFERROR(AVERAGE(E15:E18),"")</f>
        <v>4</v>
      </c>
      <c r="F19" s="76">
        <f t="shared" ref="F19" si="8">IFERROR(AVERAGE(F15:F18),"")</f>
        <v>3.6000000000000005</v>
      </c>
      <c r="G19" s="76">
        <f t="shared" ref="G19" si="9">IFERROR(AVERAGE(G15:G18),"")</f>
        <v>4.5500000000000007</v>
      </c>
      <c r="H19" s="76">
        <f t="shared" ref="H19" si="10">IFERROR(AVERAGE(H15:H18),"")</f>
        <v>3.5249999999999999</v>
      </c>
      <c r="I19" s="76">
        <f t="shared" ref="I19" si="11">IFERROR(AVERAGE(I15:I18),"")</f>
        <v>4.375</v>
      </c>
      <c r="J19" s="76">
        <f t="shared" ref="J19" si="12">IFERROR(AVERAGE(J15:J18),"")</f>
        <v>4.625</v>
      </c>
    </row>
    <row r="20" spans="1:10" outlineLevel="1" x14ac:dyDescent="0.35">
      <c r="A20" s="59" t="s">
        <v>8</v>
      </c>
      <c r="B20" s="60">
        <f>+MAX(B15:B19)</f>
        <v>4</v>
      </c>
      <c r="C20" s="60">
        <f t="shared" ref="C20:J20" si="13">+MAX(C15:C19)</f>
        <v>4</v>
      </c>
      <c r="D20" s="60">
        <f t="shared" si="13"/>
        <v>4.2</v>
      </c>
      <c r="E20" s="60">
        <f t="shared" si="13"/>
        <v>4.4000000000000004</v>
      </c>
      <c r="F20" s="60">
        <f t="shared" si="13"/>
        <v>3.7</v>
      </c>
      <c r="G20" s="60">
        <f t="shared" si="13"/>
        <v>4.7</v>
      </c>
      <c r="H20" s="60">
        <f t="shared" si="13"/>
        <v>3.7</v>
      </c>
      <c r="I20" s="60">
        <f t="shared" si="13"/>
        <v>4.5999999999999996</v>
      </c>
      <c r="J20" s="60">
        <f t="shared" si="13"/>
        <v>5.6</v>
      </c>
    </row>
    <row r="21" spans="1:10" outlineLevel="1" x14ac:dyDescent="0.35">
      <c r="A21" s="59" t="s">
        <v>9</v>
      </c>
      <c r="B21" s="60">
        <f>+MIN(B15:B19)</f>
        <v>3.6</v>
      </c>
      <c r="C21" s="60">
        <f t="shared" ref="C21:J21" si="14">+MIN(C15:C19)</f>
        <v>3.4</v>
      </c>
      <c r="D21" s="60">
        <f t="shared" si="14"/>
        <v>3.9</v>
      </c>
      <c r="E21" s="60">
        <f t="shared" si="14"/>
        <v>3.6</v>
      </c>
      <c r="F21" s="60">
        <f t="shared" si="14"/>
        <v>3.4</v>
      </c>
      <c r="G21" s="60">
        <f t="shared" si="14"/>
        <v>4.4000000000000004</v>
      </c>
      <c r="H21" s="60">
        <f t="shared" si="14"/>
        <v>3.3</v>
      </c>
      <c r="I21" s="60">
        <f t="shared" si="14"/>
        <v>4</v>
      </c>
      <c r="J21" s="60">
        <f t="shared" si="14"/>
        <v>4.0999999999999996</v>
      </c>
    </row>
    <row r="22" spans="1:10" outlineLevel="1" x14ac:dyDescent="0.35">
      <c r="A22" s="59" t="s">
        <v>10</v>
      </c>
      <c r="B22" s="62">
        <f>IFERROR((SUM(B15:B19)-B20-B21)/(COUNT(B15:B19)-2),0)</f>
        <v>3.7583333333333333</v>
      </c>
      <c r="C22" s="62">
        <f t="shared" ref="C22:J22" si="15">IFERROR((SUM(C15:C19)-C20-C21)/(COUNT(C15:C19)-2),0)</f>
        <v>3.7416666666666667</v>
      </c>
      <c r="D22" s="62">
        <f t="shared" si="15"/>
        <v>4.0083333333333337</v>
      </c>
      <c r="E22" s="62">
        <f t="shared" si="15"/>
        <v>4</v>
      </c>
      <c r="F22" s="62">
        <f t="shared" si="15"/>
        <v>3.6333333333333346</v>
      </c>
      <c r="G22" s="62">
        <f t="shared" si="15"/>
        <v>4.5500000000000016</v>
      </c>
      <c r="H22" s="62">
        <f t="shared" si="15"/>
        <v>3.5416666666666665</v>
      </c>
      <c r="I22" s="62">
        <f t="shared" si="15"/>
        <v>4.4249999999999998</v>
      </c>
      <c r="J22" s="62">
        <f t="shared" si="15"/>
        <v>4.4749999999999996</v>
      </c>
    </row>
    <row r="23" spans="1:10" outlineLevel="1" x14ac:dyDescent="0.35">
      <c r="A23" s="59" t="s">
        <v>11</v>
      </c>
      <c r="B23" s="62">
        <f>+B22*4</f>
        <v>15.033333333333333</v>
      </c>
      <c r="C23" s="62">
        <f t="shared" ref="C23:J23" si="16">+C22*4</f>
        <v>14.966666666666667</v>
      </c>
      <c r="D23" s="62">
        <f t="shared" si="16"/>
        <v>16.033333333333335</v>
      </c>
      <c r="E23" s="62">
        <f t="shared" si="16"/>
        <v>16</v>
      </c>
      <c r="F23" s="62">
        <f t="shared" si="16"/>
        <v>14.533333333333339</v>
      </c>
      <c r="G23" s="62">
        <f t="shared" si="16"/>
        <v>18.200000000000006</v>
      </c>
      <c r="H23" s="62">
        <f t="shared" si="16"/>
        <v>14.166666666666666</v>
      </c>
      <c r="I23" s="62">
        <f t="shared" si="16"/>
        <v>17.7</v>
      </c>
      <c r="J23" s="62">
        <f t="shared" si="16"/>
        <v>17.899999999999999</v>
      </c>
    </row>
    <row r="25" spans="1:10" outlineLevel="1" x14ac:dyDescent="0.35">
      <c r="A25" s="59" t="s">
        <v>35</v>
      </c>
      <c r="B25" s="74">
        <v>1</v>
      </c>
      <c r="C25" s="74">
        <v>2</v>
      </c>
      <c r="D25" s="74">
        <v>3</v>
      </c>
      <c r="E25" s="74">
        <v>4</v>
      </c>
      <c r="F25" s="74">
        <v>5</v>
      </c>
      <c r="G25" s="74">
        <v>6</v>
      </c>
      <c r="H25" s="74">
        <v>7</v>
      </c>
      <c r="I25" s="74">
        <v>8</v>
      </c>
      <c r="J25" s="74">
        <v>9</v>
      </c>
    </row>
    <row r="26" spans="1:10" outlineLevel="1" x14ac:dyDescent="0.35">
      <c r="A26" s="60" t="s">
        <v>14</v>
      </c>
      <c r="B26" s="82">
        <v>4</v>
      </c>
      <c r="C26" s="82">
        <v>3.8</v>
      </c>
      <c r="D26" s="82">
        <v>4</v>
      </c>
      <c r="E26" s="82">
        <v>4.5</v>
      </c>
      <c r="F26" s="82">
        <v>3.6</v>
      </c>
      <c r="G26" s="82">
        <v>4.8</v>
      </c>
      <c r="H26" s="82">
        <v>3.8</v>
      </c>
      <c r="I26" s="82">
        <v>4.2</v>
      </c>
      <c r="J26" s="82">
        <v>4.5999999999999996</v>
      </c>
    </row>
    <row r="27" spans="1:10" outlineLevel="1" x14ac:dyDescent="0.35">
      <c r="A27" s="60" t="s">
        <v>15</v>
      </c>
      <c r="B27" s="82">
        <v>4.0999999999999996</v>
      </c>
      <c r="C27" s="82">
        <v>4.5</v>
      </c>
      <c r="D27" s="82">
        <v>3.9</v>
      </c>
      <c r="E27" s="82">
        <v>4.3</v>
      </c>
      <c r="F27" s="82">
        <v>3.9</v>
      </c>
      <c r="G27" s="82">
        <v>5.2</v>
      </c>
      <c r="H27" s="82">
        <v>4</v>
      </c>
      <c r="I27" s="82">
        <v>4.0999999999999996</v>
      </c>
      <c r="J27" s="82">
        <v>5.4</v>
      </c>
    </row>
    <row r="28" spans="1:10" outlineLevel="1" x14ac:dyDescent="0.35">
      <c r="A28" s="60" t="s">
        <v>16</v>
      </c>
      <c r="B28" s="82">
        <v>3.4</v>
      </c>
      <c r="C28" s="82">
        <v>3.1</v>
      </c>
      <c r="D28" s="82">
        <v>3.4</v>
      </c>
      <c r="E28" s="82">
        <v>3.8</v>
      </c>
      <c r="F28" s="82">
        <v>3.4</v>
      </c>
      <c r="G28" s="82">
        <v>4.7</v>
      </c>
      <c r="H28" s="82">
        <v>3.4</v>
      </c>
      <c r="I28" s="82">
        <v>4.5</v>
      </c>
      <c r="J28" s="82">
        <v>5.0999999999999996</v>
      </c>
    </row>
    <row r="29" spans="1:10" outlineLevel="1" x14ac:dyDescent="0.35">
      <c r="A29" s="60" t="s">
        <v>17</v>
      </c>
      <c r="B29" s="82">
        <v>4.2</v>
      </c>
      <c r="C29" s="82">
        <v>4.3</v>
      </c>
      <c r="D29" s="82">
        <v>3.6</v>
      </c>
      <c r="E29" s="82">
        <v>3.5</v>
      </c>
      <c r="F29" s="82">
        <v>3.4</v>
      </c>
      <c r="G29" s="82">
        <v>4.5999999999999996</v>
      </c>
      <c r="H29" s="82">
        <v>3.9</v>
      </c>
      <c r="I29" s="82">
        <v>4.5</v>
      </c>
      <c r="J29" s="82">
        <v>5</v>
      </c>
    </row>
    <row r="30" spans="1:10" outlineLevel="1" x14ac:dyDescent="0.35">
      <c r="A30" s="60" t="s">
        <v>18</v>
      </c>
      <c r="B30" s="76">
        <f>IFERROR(AVERAGE(B26:B29),"")</f>
        <v>3.9249999999999998</v>
      </c>
      <c r="C30" s="76">
        <f t="shared" ref="C30" si="17">IFERROR(AVERAGE(C26:C29),"")</f>
        <v>3.9249999999999998</v>
      </c>
      <c r="D30" s="76">
        <f t="shared" ref="D30" si="18">IFERROR(AVERAGE(D26:D29),"")</f>
        <v>3.7250000000000001</v>
      </c>
      <c r="E30" s="76">
        <f t="shared" ref="E30" si="19">IFERROR(AVERAGE(E26:E29),"")</f>
        <v>4.0250000000000004</v>
      </c>
      <c r="F30" s="76">
        <f t="shared" ref="F30" si="20">IFERROR(AVERAGE(F26:F29),"")</f>
        <v>3.5750000000000002</v>
      </c>
      <c r="G30" s="76">
        <f t="shared" ref="G30" si="21">IFERROR(AVERAGE(G26:G29),"")</f>
        <v>4.8249999999999993</v>
      </c>
      <c r="H30" s="76">
        <f t="shared" ref="H30" si="22">IFERROR(AVERAGE(H26:H29),"")</f>
        <v>3.7749999999999999</v>
      </c>
      <c r="I30" s="76">
        <f t="shared" ref="I30" si="23">IFERROR(AVERAGE(I26:I29),"")</f>
        <v>4.3250000000000002</v>
      </c>
      <c r="J30" s="76">
        <f t="shared" ref="J30" si="24">IFERROR(AVERAGE(J26:J29),"")</f>
        <v>5.0250000000000004</v>
      </c>
    </row>
    <row r="31" spans="1:10" outlineLevel="1" x14ac:dyDescent="0.35">
      <c r="A31" s="59" t="s">
        <v>8</v>
      </c>
      <c r="B31" s="60">
        <f>+MAX(B26:B30)</f>
        <v>4.2</v>
      </c>
      <c r="C31" s="60">
        <f t="shared" ref="C31:J31" si="25">+MAX(C26:C30)</f>
        <v>4.5</v>
      </c>
      <c r="D31" s="60">
        <f t="shared" si="25"/>
        <v>4</v>
      </c>
      <c r="E31" s="60">
        <f t="shared" si="25"/>
        <v>4.5</v>
      </c>
      <c r="F31" s="60">
        <f t="shared" si="25"/>
        <v>3.9</v>
      </c>
      <c r="G31" s="60">
        <f t="shared" si="25"/>
        <v>5.2</v>
      </c>
      <c r="H31" s="60">
        <f t="shared" si="25"/>
        <v>4</v>
      </c>
      <c r="I31" s="60">
        <f t="shared" si="25"/>
        <v>4.5</v>
      </c>
      <c r="J31" s="60">
        <f t="shared" si="25"/>
        <v>5.4</v>
      </c>
    </row>
    <row r="32" spans="1:10" outlineLevel="1" x14ac:dyDescent="0.35">
      <c r="A32" s="59" t="s">
        <v>9</v>
      </c>
      <c r="B32" s="60">
        <f>+MIN(B26:B30)</f>
        <v>3.4</v>
      </c>
      <c r="C32" s="60">
        <f t="shared" ref="C32:J32" si="26">+MIN(C26:C30)</f>
        <v>3.1</v>
      </c>
      <c r="D32" s="60">
        <f t="shared" si="26"/>
        <v>3.4</v>
      </c>
      <c r="E32" s="60">
        <f t="shared" si="26"/>
        <v>3.5</v>
      </c>
      <c r="F32" s="60">
        <f t="shared" si="26"/>
        <v>3.4</v>
      </c>
      <c r="G32" s="60">
        <f t="shared" si="26"/>
        <v>4.5999999999999996</v>
      </c>
      <c r="H32" s="60">
        <f t="shared" si="26"/>
        <v>3.4</v>
      </c>
      <c r="I32" s="60">
        <f t="shared" si="26"/>
        <v>4.0999999999999996</v>
      </c>
      <c r="J32" s="60">
        <f t="shared" si="26"/>
        <v>4.5999999999999996</v>
      </c>
    </row>
    <row r="33" spans="1:10" outlineLevel="1" x14ac:dyDescent="0.35">
      <c r="A33" s="59" t="s">
        <v>10</v>
      </c>
      <c r="B33" s="62">
        <f>IFERROR((SUM(B26:B30)-B31-B32)/(COUNT(B26:B30)-2),0)</f>
        <v>4.0083333333333337</v>
      </c>
      <c r="C33" s="62">
        <f t="shared" ref="C33:J33" si="27">IFERROR((SUM(C26:C30)-C31-C32)/(COUNT(C26:C30)-2),0)</f>
        <v>4.0083333333333337</v>
      </c>
      <c r="D33" s="62">
        <f t="shared" si="27"/>
        <v>3.7416666666666667</v>
      </c>
      <c r="E33" s="62">
        <f t="shared" si="27"/>
        <v>4.041666666666667</v>
      </c>
      <c r="F33" s="62">
        <f t="shared" si="27"/>
        <v>3.5249999999999999</v>
      </c>
      <c r="G33" s="62">
        <f t="shared" si="27"/>
        <v>4.7749999999999995</v>
      </c>
      <c r="H33" s="62">
        <f t="shared" si="27"/>
        <v>3.8249999999999997</v>
      </c>
      <c r="I33" s="62">
        <f t="shared" si="27"/>
        <v>4.3416666666666668</v>
      </c>
      <c r="J33" s="62">
        <f t="shared" si="27"/>
        <v>5.041666666666667</v>
      </c>
    </row>
    <row r="34" spans="1:10" outlineLevel="1" x14ac:dyDescent="0.35">
      <c r="A34" s="59" t="s">
        <v>11</v>
      </c>
      <c r="B34" s="62">
        <f>+B33*3</f>
        <v>12.025000000000002</v>
      </c>
      <c r="C34" s="62">
        <f t="shared" ref="C34:J34" si="28">+C33*3</f>
        <v>12.025000000000002</v>
      </c>
      <c r="D34" s="62">
        <f t="shared" si="28"/>
        <v>11.225</v>
      </c>
      <c r="E34" s="62">
        <f t="shared" si="28"/>
        <v>12.125</v>
      </c>
      <c r="F34" s="62">
        <f t="shared" si="28"/>
        <v>10.574999999999999</v>
      </c>
      <c r="G34" s="62">
        <f t="shared" si="28"/>
        <v>14.324999999999999</v>
      </c>
      <c r="H34" s="62">
        <f t="shared" si="28"/>
        <v>11.475</v>
      </c>
      <c r="I34" s="62">
        <f t="shared" si="28"/>
        <v>13.025</v>
      </c>
      <c r="J34" s="62">
        <f t="shared" si="28"/>
        <v>15.125</v>
      </c>
    </row>
    <row r="36" spans="1:10" x14ac:dyDescent="0.35">
      <c r="A36" s="59" t="s">
        <v>12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 x14ac:dyDescent="0.35">
      <c r="A37" s="59" t="s">
        <v>13</v>
      </c>
      <c r="B37" s="89">
        <f>ROUND(+B12+B23+B34,3)-B36</f>
        <v>38.332999999999998</v>
      </c>
      <c r="C37" s="89">
        <f t="shared" ref="C37:J37" si="29">ROUND(+C12+C23+C34,3)-C36</f>
        <v>38.067</v>
      </c>
      <c r="D37" s="89">
        <f t="shared" si="29"/>
        <v>38.357999999999997</v>
      </c>
      <c r="E37" s="89">
        <f t="shared" si="29"/>
        <v>40.200000000000003</v>
      </c>
      <c r="F37" s="89">
        <f t="shared" si="29"/>
        <v>35.457999999999998</v>
      </c>
      <c r="G37" s="89">
        <f t="shared" si="29"/>
        <v>46</v>
      </c>
      <c r="H37" s="89">
        <f t="shared" si="29"/>
        <v>36.142000000000003</v>
      </c>
      <c r="I37" s="89">
        <f t="shared" si="29"/>
        <v>43.5</v>
      </c>
      <c r="J37" s="89">
        <f t="shared" si="29"/>
        <v>46.825000000000003</v>
      </c>
    </row>
  </sheetData>
  <sheetProtection password="D8D7" sheet="1" objects="1" scenarios="1" selectLockedCells="1"/>
  <pageMargins left="0.7" right="0.7" top="0.75" bottom="0.75" header="0.3" footer="0.3"/>
  <pageSetup scale="90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7" workbookViewId="0">
      <selection activeCell="E22" sqref="E22"/>
    </sheetView>
  </sheetViews>
  <sheetFormatPr defaultRowHeight="14.5" x14ac:dyDescent="0.35"/>
  <cols>
    <col min="1" max="1" width="0.81640625" style="49" customWidth="1"/>
    <col min="2" max="2" width="26.81640625" bestFit="1" customWidth="1"/>
    <col min="3" max="3" width="19" customWidth="1"/>
    <col min="4" max="4" width="14.7265625" bestFit="1" customWidth="1"/>
    <col min="5" max="5" width="20.54296875" customWidth="1"/>
    <col min="6" max="6" width="14.7265625" customWidth="1"/>
    <col min="7" max="7" width="13.7265625" bestFit="1" customWidth="1"/>
    <col min="8" max="8" width="12.54296875" customWidth="1"/>
  </cols>
  <sheetData>
    <row r="1" spans="1:12" x14ac:dyDescent="0.35">
      <c r="B1" s="17"/>
      <c r="C1" s="7" t="s">
        <v>33</v>
      </c>
      <c r="D1" s="7" t="s">
        <v>76</v>
      </c>
      <c r="E1" s="7" t="s">
        <v>35</v>
      </c>
    </row>
    <row r="2" spans="1:12" x14ac:dyDescent="0.35">
      <c r="B2" s="17" t="s">
        <v>14</v>
      </c>
      <c r="C2" s="82"/>
      <c r="D2" s="82"/>
      <c r="E2" s="82"/>
    </row>
    <row r="3" spans="1:12" x14ac:dyDescent="0.35">
      <c r="B3" s="17" t="s">
        <v>15</v>
      </c>
      <c r="C3" s="82"/>
      <c r="D3" s="82"/>
      <c r="E3" s="82"/>
    </row>
    <row r="4" spans="1:12" x14ac:dyDescent="0.35">
      <c r="B4" s="17" t="s">
        <v>16</v>
      </c>
      <c r="C4" s="82"/>
      <c r="D4" s="82"/>
      <c r="E4" s="82"/>
    </row>
    <row r="5" spans="1:12" x14ac:dyDescent="0.35">
      <c r="B5" s="17" t="s">
        <v>17</v>
      </c>
      <c r="C5" s="82"/>
      <c r="D5" s="82"/>
      <c r="E5" s="82"/>
    </row>
    <row r="7" spans="1:12" x14ac:dyDescent="0.35">
      <c r="B7" s="7" t="s">
        <v>0</v>
      </c>
      <c r="C7" s="19" t="str">
        <f>+'U10 U12'!E10</f>
        <v>SSA Level 1</v>
      </c>
      <c r="E7" s="87" t="s">
        <v>161</v>
      </c>
    </row>
    <row r="8" spans="1:12" x14ac:dyDescent="0.35">
      <c r="B8" s="7" t="s">
        <v>19</v>
      </c>
      <c r="C8" s="19" t="str">
        <f>+'U10 U12'!E11</f>
        <v>12 - 13 March 2016</v>
      </c>
    </row>
    <row r="9" spans="1:12" x14ac:dyDescent="0.35">
      <c r="B9" s="7" t="s">
        <v>1</v>
      </c>
      <c r="C9" s="19" t="s">
        <v>171</v>
      </c>
    </row>
    <row r="12" spans="1:12" x14ac:dyDescent="0.35">
      <c r="B12" s="11" t="s">
        <v>2</v>
      </c>
      <c r="C12" s="81" t="s">
        <v>6</v>
      </c>
      <c r="D12" s="8" t="s">
        <v>154</v>
      </c>
      <c r="E12" s="8" t="s">
        <v>134</v>
      </c>
      <c r="F12" s="8" t="s">
        <v>11</v>
      </c>
      <c r="G12" s="8" t="s">
        <v>36</v>
      </c>
      <c r="H12" s="8" t="s">
        <v>22</v>
      </c>
      <c r="I12" s="8" t="s">
        <v>20</v>
      </c>
    </row>
    <row r="13" spans="1:12" x14ac:dyDescent="0.35">
      <c r="A13" s="49">
        <f>I13</f>
        <v>3</v>
      </c>
      <c r="B13" s="52" t="s">
        <v>95</v>
      </c>
      <c r="C13" s="83">
        <v>1</v>
      </c>
      <c r="D13" s="53" t="s">
        <v>141</v>
      </c>
      <c r="E13" s="52" t="str">
        <f>VLOOKUP($B13,Competitiors!$A$4:$C$45,2,FALSE)</f>
        <v>Umlazi Sharks</v>
      </c>
      <c r="F13" s="22">
        <f>IFERROR(HLOOKUP($C13,'Duet Scores'!$B$3:$G$37,35,FALSE),"")</f>
        <v>34.792000000000002</v>
      </c>
      <c r="G13" s="22">
        <f>IFERROR(VLOOKUP(B13,'U10 U12'!$D$24:$J$31,3,FALSE),"")</f>
        <v>38.737000000000002</v>
      </c>
      <c r="H13" s="22">
        <f>ROUND((F13+(G13+G14)/2)/2,4)</f>
        <v>36.159999999999997</v>
      </c>
      <c r="I13" s="18">
        <f>IF(H13&lt;&gt;"",RANK(H13,$H$13:$H$20,0),"")</f>
        <v>3</v>
      </c>
      <c r="L13" s="24"/>
    </row>
    <row r="14" spans="1:12" x14ac:dyDescent="0.35">
      <c r="B14" s="52" t="s">
        <v>98</v>
      </c>
      <c r="C14" s="83">
        <v>1</v>
      </c>
      <c r="D14" s="53" t="s">
        <v>141</v>
      </c>
      <c r="E14" s="52" t="str">
        <f>VLOOKUP($B14,Competitiors!$A$4:$C$45,2,FALSE)</f>
        <v>Umlazi Sharks</v>
      </c>
      <c r="F14" s="22"/>
      <c r="G14" s="22">
        <f>IFERROR(VLOOKUP(B14,'U10 U12'!$D$24:$J$31,3,FALSE),"")</f>
        <v>36.319000000000003</v>
      </c>
      <c r="H14" s="22"/>
      <c r="I14" s="18"/>
    </row>
    <row r="15" spans="1:12" x14ac:dyDescent="0.35">
      <c r="A15" s="49">
        <f t="shared" ref="A15:A20" si="0">I15</f>
        <v>1</v>
      </c>
      <c r="B15" s="52" t="s">
        <v>106</v>
      </c>
      <c r="C15" s="83">
        <v>4</v>
      </c>
      <c r="D15" s="53" t="s">
        <v>108</v>
      </c>
      <c r="E15" s="52" t="str">
        <f>VLOOKUP($B15,Competitiors!$A$4:$C$45,2,FALSE)</f>
        <v>DGC</v>
      </c>
      <c r="F15" s="22">
        <f>IFERROR(HLOOKUP($C15,'Duet Scores'!$B$3:$G$37,35,FALSE),"")</f>
        <v>46.433</v>
      </c>
      <c r="G15" s="22">
        <f>IFERROR(VLOOKUP(B15,'13 - 15'!$D$14:$G$24,4,FALSE),"")</f>
        <v>39.518999999999998</v>
      </c>
      <c r="H15" s="22">
        <f>ROUND((F15+(G15+G16)/2)/2,4)</f>
        <v>43.810299999999998</v>
      </c>
      <c r="I15" s="18">
        <f>IF(H15&lt;&gt;"",RANK(H15,$H$15:$H$20,0),"")</f>
        <v>1</v>
      </c>
    </row>
    <row r="16" spans="1:12" x14ac:dyDescent="0.35">
      <c r="A16" s="49" t="str">
        <f t="shared" si="0"/>
        <v/>
      </c>
      <c r="B16" s="54" t="s">
        <v>109</v>
      </c>
      <c r="C16" s="83">
        <v>4</v>
      </c>
      <c r="D16" s="53" t="s">
        <v>108</v>
      </c>
      <c r="E16" s="52" t="str">
        <f>VLOOKUP($B16,Competitiors!$A$4:$C$45,2,FALSE)</f>
        <v>DGC</v>
      </c>
      <c r="F16" s="22"/>
      <c r="G16" s="22">
        <f>IFERROR(VLOOKUP(B16,'13 - 15'!$D$14:$G$24,4,FALSE),"")</f>
        <v>42.856000000000002</v>
      </c>
      <c r="H16" s="22"/>
      <c r="I16" s="53" t="str">
        <f t="shared" ref="I16:I20" si="1">IF(H16&lt;&gt;"",RANK(H16,$H$15:$H$20,0),"")</f>
        <v/>
      </c>
    </row>
    <row r="17" spans="1:10" x14ac:dyDescent="0.35">
      <c r="A17" s="49">
        <f t="shared" si="0"/>
        <v>2</v>
      </c>
      <c r="B17" s="54" t="s">
        <v>112</v>
      </c>
      <c r="C17" s="83">
        <v>3</v>
      </c>
      <c r="D17" s="53" t="s">
        <v>108</v>
      </c>
      <c r="E17" s="52" t="str">
        <f>VLOOKUP($B17,Competitiors!$A$4:$C$45,2,FALSE)</f>
        <v>DGC</v>
      </c>
      <c r="F17" s="22">
        <f>IFERROR(HLOOKUP($C17,'Duet Scores'!$B$3:$G$37,35,FALSE),"")</f>
        <v>42.207999999999998</v>
      </c>
      <c r="G17" s="22">
        <f>IFERROR(VLOOKUP(B17,'13 - 15'!$D$14:$G$24,4,FALSE),"")</f>
        <v>41.396999999999998</v>
      </c>
      <c r="H17" s="22">
        <f>ROUND((F17+(G17+G18)/2)/2,4)</f>
        <v>41.410800000000002</v>
      </c>
      <c r="I17" s="53">
        <f t="shared" si="1"/>
        <v>2</v>
      </c>
    </row>
    <row r="18" spans="1:10" x14ac:dyDescent="0.35">
      <c r="A18" s="49" t="str">
        <f t="shared" si="0"/>
        <v/>
      </c>
      <c r="B18" s="54" t="s">
        <v>114</v>
      </c>
      <c r="C18" s="83">
        <v>3</v>
      </c>
      <c r="D18" s="53" t="s">
        <v>108</v>
      </c>
      <c r="E18" s="52" t="str">
        <f>VLOOKUP($B18,Competitiors!$A$4:$C$45,2,FALSE)</f>
        <v>DGC</v>
      </c>
      <c r="F18" s="22"/>
      <c r="G18" s="22">
        <f>IFERROR(VLOOKUP(B18,'13 - 15'!$D$14:$G$24,4,FALSE),"")</f>
        <v>39.83</v>
      </c>
      <c r="H18" s="22"/>
      <c r="I18" s="53" t="str">
        <f t="shared" si="1"/>
        <v/>
      </c>
    </row>
    <row r="19" spans="1:10" x14ac:dyDescent="0.35">
      <c r="A19" s="49">
        <f t="shared" si="0"/>
        <v>3</v>
      </c>
      <c r="B19" s="54" t="s">
        <v>115</v>
      </c>
      <c r="C19" s="83">
        <v>2</v>
      </c>
      <c r="D19" s="53" t="s">
        <v>108</v>
      </c>
      <c r="E19" s="52" t="str">
        <f>VLOOKUP($B19,Competitiors!$A$4:$C$45,2,FALSE)</f>
        <v>Umlazi Sharks</v>
      </c>
      <c r="F19" s="22">
        <f>IFERROR(HLOOKUP($C19,'Duet Scores'!$B$3:$G$37,35,FALSE),"")</f>
        <v>35.207999999999998</v>
      </c>
      <c r="G19" s="22">
        <f>IFERROR(VLOOKUP(B19,'13 - 15'!$D$14:$G$24,4,FALSE),"")</f>
        <v>37.183</v>
      </c>
      <c r="H19" s="22">
        <f>ROUND((F19+(G19+G20)/2)/2,4)</f>
        <v>35.573999999999998</v>
      </c>
      <c r="I19" s="53">
        <f t="shared" si="1"/>
        <v>3</v>
      </c>
    </row>
    <row r="20" spans="1:10" x14ac:dyDescent="0.35">
      <c r="A20" s="49" t="str">
        <f t="shared" si="0"/>
        <v/>
      </c>
      <c r="B20" s="54" t="s">
        <v>118</v>
      </c>
      <c r="C20" s="83">
        <v>2</v>
      </c>
      <c r="D20" s="53" t="s">
        <v>108</v>
      </c>
      <c r="E20" s="52" t="str">
        <f>VLOOKUP($B20,Competitiors!$A$4:$C$45,2,FALSE)</f>
        <v>Umlazi Sharks</v>
      </c>
      <c r="F20" s="22"/>
      <c r="G20" s="22">
        <f>IFERROR(VLOOKUP(B20,'13 - 15'!$D$14:$G$24,4,FALSE),"")</f>
        <v>34.697000000000003</v>
      </c>
      <c r="H20" s="22"/>
      <c r="I20" s="53" t="str">
        <f t="shared" si="1"/>
        <v/>
      </c>
    </row>
    <row r="21" spans="1:10" x14ac:dyDescent="0.35">
      <c r="C21" s="16"/>
      <c r="D21" s="13"/>
      <c r="E21" s="1"/>
      <c r="F21" s="1"/>
    </row>
    <row r="22" spans="1:10" x14ac:dyDescent="0.35">
      <c r="F22" s="13"/>
      <c r="G22" s="13"/>
      <c r="H22" s="13"/>
      <c r="I22" s="13"/>
      <c r="J22" s="13"/>
    </row>
    <row r="23" spans="1:10" x14ac:dyDescent="0.35">
      <c r="F23" s="13"/>
      <c r="G23" s="13"/>
      <c r="H23" s="13"/>
      <c r="I23" s="13"/>
      <c r="J23" s="13"/>
    </row>
  </sheetData>
  <sheetProtection selectLockedCells="1"/>
  <sortState ref="B13:I20">
    <sortCondition descending="1" ref="D13:D20"/>
  </sortState>
  <pageMargins left="0.7" right="0.7" top="0.75" bottom="0.75" header="0.3" footer="0.3"/>
  <pageSetup paperSize="9" scale="96"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view="pageBreakPreview" topLeftCell="A9" zoomScaleNormal="100" zoomScaleSheetLayoutView="100" workbookViewId="0">
      <selection activeCell="E5" sqref="E5"/>
    </sheetView>
  </sheetViews>
  <sheetFormatPr defaultColWidth="9.1796875" defaultRowHeight="14.5" outlineLevelRow="1" x14ac:dyDescent="0.35"/>
  <cols>
    <col min="1" max="1" width="23.453125" style="2" bestFit="1" customWidth="1"/>
    <col min="2" max="7" width="12.26953125" style="2" customWidth="1"/>
    <col min="8" max="16384" width="9.1796875" style="2"/>
  </cols>
  <sheetData>
    <row r="1" spans="1:7" ht="21" x14ac:dyDescent="0.5">
      <c r="A1" s="43" t="s">
        <v>171</v>
      </c>
      <c r="B1" s="43" t="s">
        <v>185</v>
      </c>
    </row>
    <row r="3" spans="1:7" outlineLevel="1" x14ac:dyDescent="0.35">
      <c r="A3" s="59" t="s">
        <v>33</v>
      </c>
      <c r="B3" s="59">
        <v>1</v>
      </c>
      <c r="C3" s="59">
        <v>2</v>
      </c>
      <c r="D3" s="59">
        <v>3</v>
      </c>
      <c r="E3" s="59">
        <v>4</v>
      </c>
      <c r="F3" s="59">
        <v>5</v>
      </c>
      <c r="G3" s="59">
        <v>6</v>
      </c>
    </row>
    <row r="4" spans="1:7" outlineLevel="1" x14ac:dyDescent="0.35">
      <c r="A4" s="60" t="s">
        <v>14</v>
      </c>
      <c r="B4" s="82">
        <v>3.4</v>
      </c>
      <c r="C4" s="82">
        <v>3.6</v>
      </c>
      <c r="D4" s="82">
        <v>4.2</v>
      </c>
      <c r="E4" s="82">
        <v>4.5</v>
      </c>
      <c r="F4" s="82"/>
      <c r="G4" s="82"/>
    </row>
    <row r="5" spans="1:7" outlineLevel="1" x14ac:dyDescent="0.35">
      <c r="A5" s="60" t="s">
        <v>15</v>
      </c>
      <c r="B5" s="82">
        <v>3.4</v>
      </c>
      <c r="C5" s="82">
        <v>3.1</v>
      </c>
      <c r="D5" s="82">
        <v>4.0999999999999996</v>
      </c>
      <c r="E5" s="82">
        <v>4.7</v>
      </c>
      <c r="F5" s="82"/>
      <c r="G5" s="82"/>
    </row>
    <row r="6" spans="1:7" outlineLevel="1" x14ac:dyDescent="0.35">
      <c r="A6" s="60" t="s">
        <v>16</v>
      </c>
      <c r="B6" s="82">
        <v>4</v>
      </c>
      <c r="C6" s="82">
        <v>3.6</v>
      </c>
      <c r="D6" s="82">
        <v>4.5</v>
      </c>
      <c r="E6" s="82">
        <v>4.5</v>
      </c>
      <c r="F6" s="82"/>
      <c r="G6" s="82"/>
    </row>
    <row r="7" spans="1:7" outlineLevel="1" x14ac:dyDescent="0.35">
      <c r="A7" s="60" t="s">
        <v>17</v>
      </c>
      <c r="B7" s="82">
        <v>3.3</v>
      </c>
      <c r="C7" s="82">
        <v>3.6</v>
      </c>
      <c r="D7" s="82">
        <v>4</v>
      </c>
      <c r="E7" s="82">
        <v>4.8</v>
      </c>
      <c r="F7" s="82"/>
      <c r="G7" s="82"/>
    </row>
    <row r="8" spans="1:7" outlineLevel="1" x14ac:dyDescent="0.35">
      <c r="A8" s="60" t="s">
        <v>18</v>
      </c>
      <c r="B8" s="76">
        <f t="shared" ref="B8:G8" si="0">IFERROR(AVERAGE(B4:B7),"")</f>
        <v>3.5250000000000004</v>
      </c>
      <c r="C8" s="76">
        <f t="shared" si="0"/>
        <v>3.4750000000000001</v>
      </c>
      <c r="D8" s="76">
        <f t="shared" si="0"/>
        <v>4.2</v>
      </c>
      <c r="E8" s="76">
        <f t="shared" si="0"/>
        <v>4.625</v>
      </c>
      <c r="F8" s="76" t="str">
        <f t="shared" si="0"/>
        <v/>
      </c>
      <c r="G8" s="76" t="str">
        <f t="shared" si="0"/>
        <v/>
      </c>
    </row>
    <row r="9" spans="1:7" outlineLevel="1" x14ac:dyDescent="0.35">
      <c r="A9" s="59" t="s">
        <v>8</v>
      </c>
      <c r="B9" s="60">
        <f t="shared" ref="B9:G9" si="1">+MAX(B4:B8)</f>
        <v>4</v>
      </c>
      <c r="C9" s="60">
        <f t="shared" si="1"/>
        <v>3.6</v>
      </c>
      <c r="D9" s="60">
        <f t="shared" si="1"/>
        <v>4.5</v>
      </c>
      <c r="E9" s="60">
        <f t="shared" si="1"/>
        <v>4.8</v>
      </c>
      <c r="F9" s="60">
        <f t="shared" si="1"/>
        <v>0</v>
      </c>
      <c r="G9" s="60">
        <f t="shared" si="1"/>
        <v>0</v>
      </c>
    </row>
    <row r="10" spans="1:7" outlineLevel="1" x14ac:dyDescent="0.35">
      <c r="A10" s="59" t="s">
        <v>9</v>
      </c>
      <c r="B10" s="60">
        <f t="shared" ref="B10:G10" si="2">+MIN(B4:B8)</f>
        <v>3.3</v>
      </c>
      <c r="C10" s="60">
        <f t="shared" si="2"/>
        <v>3.1</v>
      </c>
      <c r="D10" s="60">
        <f t="shared" si="2"/>
        <v>4</v>
      </c>
      <c r="E10" s="60">
        <f t="shared" si="2"/>
        <v>4.5</v>
      </c>
      <c r="F10" s="60">
        <f t="shared" si="2"/>
        <v>0</v>
      </c>
      <c r="G10" s="60">
        <f t="shared" si="2"/>
        <v>0</v>
      </c>
    </row>
    <row r="11" spans="1:7" outlineLevel="1" x14ac:dyDescent="0.35">
      <c r="A11" s="59" t="s">
        <v>10</v>
      </c>
      <c r="B11" s="62">
        <f t="shared" ref="B11:G11" si="3">IFERROR((SUM(B4:B8)-B9-B10)/(COUNT(B4:B8)-2),0)</f>
        <v>3.4416666666666664</v>
      </c>
      <c r="C11" s="62">
        <f t="shared" si="3"/>
        <v>3.5583333333333336</v>
      </c>
      <c r="D11" s="62">
        <f t="shared" si="3"/>
        <v>4.166666666666667</v>
      </c>
      <c r="E11" s="62">
        <f t="shared" si="3"/>
        <v>4.6083333333333334</v>
      </c>
      <c r="F11" s="62">
        <f t="shared" si="3"/>
        <v>0</v>
      </c>
      <c r="G11" s="62">
        <f t="shared" si="3"/>
        <v>0</v>
      </c>
    </row>
    <row r="12" spans="1:7" outlineLevel="1" x14ac:dyDescent="0.35">
      <c r="A12" s="59" t="s">
        <v>11</v>
      </c>
      <c r="B12" s="63">
        <f t="shared" ref="B12:G12" si="4">+B11*3</f>
        <v>10.324999999999999</v>
      </c>
      <c r="C12" s="63">
        <f t="shared" si="4"/>
        <v>10.675000000000001</v>
      </c>
      <c r="D12" s="63">
        <f t="shared" si="4"/>
        <v>12.5</v>
      </c>
      <c r="E12" s="63">
        <f t="shared" si="4"/>
        <v>13.824999999999999</v>
      </c>
      <c r="F12" s="63">
        <f t="shared" si="4"/>
        <v>0</v>
      </c>
      <c r="G12" s="63">
        <f t="shared" si="4"/>
        <v>0</v>
      </c>
    </row>
    <row r="14" spans="1:7" outlineLevel="1" x14ac:dyDescent="0.35">
      <c r="A14" s="59" t="s">
        <v>34</v>
      </c>
      <c r="B14" s="59">
        <v>1</v>
      </c>
      <c r="C14" s="59">
        <v>2</v>
      </c>
      <c r="D14" s="59">
        <v>3</v>
      </c>
      <c r="E14" s="59">
        <v>4</v>
      </c>
      <c r="F14" s="59">
        <v>5</v>
      </c>
      <c r="G14" s="59">
        <v>6</v>
      </c>
    </row>
    <row r="15" spans="1:7" outlineLevel="1" x14ac:dyDescent="0.35">
      <c r="A15" s="60" t="s">
        <v>14</v>
      </c>
      <c r="B15" s="82">
        <v>3.1</v>
      </c>
      <c r="C15" s="82">
        <v>3.4</v>
      </c>
      <c r="D15" s="82">
        <v>4.3</v>
      </c>
      <c r="E15" s="82">
        <v>4.5999999999999996</v>
      </c>
      <c r="F15" s="82"/>
      <c r="G15" s="82"/>
    </row>
    <row r="16" spans="1:7" outlineLevel="1" x14ac:dyDescent="0.35">
      <c r="A16" s="60" t="s">
        <v>15</v>
      </c>
      <c r="B16" s="82">
        <v>3.8</v>
      </c>
      <c r="C16" s="82">
        <v>3.4</v>
      </c>
      <c r="D16" s="82">
        <v>4</v>
      </c>
      <c r="E16" s="82">
        <v>4.5</v>
      </c>
      <c r="F16" s="82"/>
      <c r="G16" s="82"/>
    </row>
    <row r="17" spans="1:7" outlineLevel="1" x14ac:dyDescent="0.35">
      <c r="A17" s="60" t="s">
        <v>16</v>
      </c>
      <c r="B17" s="82">
        <v>3.6</v>
      </c>
      <c r="C17" s="82">
        <v>3.8</v>
      </c>
      <c r="D17" s="82">
        <v>4.3</v>
      </c>
      <c r="E17" s="82">
        <v>4.4000000000000004</v>
      </c>
      <c r="F17" s="82"/>
      <c r="G17" s="82"/>
    </row>
    <row r="18" spans="1:7" outlineLevel="1" x14ac:dyDescent="0.35">
      <c r="A18" s="60" t="s">
        <v>17</v>
      </c>
      <c r="B18" s="82">
        <v>3.4</v>
      </c>
      <c r="C18" s="82">
        <v>3.4</v>
      </c>
      <c r="D18" s="82">
        <v>3.8</v>
      </c>
      <c r="E18" s="82">
        <v>4.8</v>
      </c>
      <c r="F18" s="82"/>
      <c r="G18" s="82"/>
    </row>
    <row r="19" spans="1:7" outlineLevel="1" x14ac:dyDescent="0.35">
      <c r="A19" s="60" t="s">
        <v>18</v>
      </c>
      <c r="B19" s="76">
        <f>IFERROR(AVERAGE(B15:B18),"")</f>
        <v>3.4750000000000001</v>
      </c>
      <c r="C19" s="76">
        <f>IFERROR(AVERAGE(C15:C18),"")</f>
        <v>3.5</v>
      </c>
      <c r="D19" s="76">
        <f>IFERROR(AVERAGE(D15:D18),"")</f>
        <v>4.1000000000000005</v>
      </c>
      <c r="E19" s="76">
        <f t="shared" ref="E19" si="5">IFERROR(AVERAGE(E15:E18),"")</f>
        <v>4.5750000000000002</v>
      </c>
      <c r="F19" s="76" t="str">
        <f t="shared" ref="F19" si="6">IFERROR(AVERAGE(F15:F18),"")</f>
        <v/>
      </c>
      <c r="G19" s="76" t="str">
        <f t="shared" ref="G19" si="7">IFERROR(AVERAGE(G15:G18),"")</f>
        <v/>
      </c>
    </row>
    <row r="20" spans="1:7" outlineLevel="1" x14ac:dyDescent="0.35">
      <c r="A20" s="59" t="s">
        <v>8</v>
      </c>
      <c r="B20" s="60">
        <f t="shared" ref="B20:G20" si="8">+MAX(B15:B19)</f>
        <v>3.8</v>
      </c>
      <c r="C20" s="60">
        <f t="shared" si="8"/>
        <v>3.8</v>
      </c>
      <c r="D20" s="60">
        <f t="shared" si="8"/>
        <v>4.3</v>
      </c>
      <c r="E20" s="60">
        <f t="shared" si="8"/>
        <v>4.8</v>
      </c>
      <c r="F20" s="60">
        <f t="shared" si="8"/>
        <v>0</v>
      </c>
      <c r="G20" s="60">
        <f t="shared" si="8"/>
        <v>0</v>
      </c>
    </row>
    <row r="21" spans="1:7" outlineLevel="1" x14ac:dyDescent="0.35">
      <c r="A21" s="59" t="s">
        <v>9</v>
      </c>
      <c r="B21" s="60">
        <f t="shared" ref="B21:G21" si="9">+MIN(B15:B19)</f>
        <v>3.1</v>
      </c>
      <c r="C21" s="60">
        <f t="shared" si="9"/>
        <v>3.4</v>
      </c>
      <c r="D21" s="60">
        <f t="shared" si="9"/>
        <v>3.8</v>
      </c>
      <c r="E21" s="60">
        <f t="shared" si="9"/>
        <v>4.4000000000000004</v>
      </c>
      <c r="F21" s="60">
        <f t="shared" si="9"/>
        <v>0</v>
      </c>
      <c r="G21" s="60">
        <f t="shared" si="9"/>
        <v>0</v>
      </c>
    </row>
    <row r="22" spans="1:7" outlineLevel="1" x14ac:dyDescent="0.35">
      <c r="A22" s="59" t="s">
        <v>10</v>
      </c>
      <c r="B22" s="62">
        <f t="shared" ref="B22:G22" si="10">IFERROR((SUM(B15:B19)-B20-B21)/(COUNT(B15:B19)-2),0)</f>
        <v>3.4916666666666667</v>
      </c>
      <c r="C22" s="62">
        <f t="shared" si="10"/>
        <v>3.4333333333333331</v>
      </c>
      <c r="D22" s="62">
        <f t="shared" si="10"/>
        <v>4.1333333333333337</v>
      </c>
      <c r="E22" s="62">
        <f t="shared" si="10"/>
        <v>4.5583333333333327</v>
      </c>
      <c r="F22" s="62">
        <f t="shared" si="10"/>
        <v>0</v>
      </c>
      <c r="G22" s="62">
        <f t="shared" si="10"/>
        <v>0</v>
      </c>
    </row>
    <row r="23" spans="1:7" outlineLevel="1" x14ac:dyDescent="0.35">
      <c r="A23" s="59" t="s">
        <v>11</v>
      </c>
      <c r="B23" s="62">
        <f>+B22*4</f>
        <v>13.966666666666667</v>
      </c>
      <c r="C23" s="62">
        <f t="shared" ref="C23:G23" si="11">+C22*4</f>
        <v>13.733333333333333</v>
      </c>
      <c r="D23" s="62">
        <f t="shared" si="11"/>
        <v>16.533333333333335</v>
      </c>
      <c r="E23" s="62">
        <f t="shared" si="11"/>
        <v>18.233333333333331</v>
      </c>
      <c r="F23" s="62">
        <f t="shared" si="11"/>
        <v>0</v>
      </c>
      <c r="G23" s="62">
        <f t="shared" si="11"/>
        <v>0</v>
      </c>
    </row>
    <row r="25" spans="1:7" outlineLevel="1" x14ac:dyDescent="0.35">
      <c r="A25" s="59" t="s">
        <v>35</v>
      </c>
      <c r="B25" s="59">
        <v>1</v>
      </c>
      <c r="C25" s="59">
        <v>2</v>
      </c>
      <c r="D25" s="59">
        <v>3</v>
      </c>
      <c r="E25" s="59">
        <v>4</v>
      </c>
      <c r="F25" s="59">
        <v>5</v>
      </c>
      <c r="G25" s="59">
        <v>6</v>
      </c>
    </row>
    <row r="26" spans="1:7" outlineLevel="1" x14ac:dyDescent="0.35">
      <c r="A26" s="60" t="s">
        <v>14</v>
      </c>
      <c r="B26" s="82">
        <v>3.4</v>
      </c>
      <c r="C26" s="82">
        <v>3.6</v>
      </c>
      <c r="D26" s="82">
        <v>4.5999999999999996</v>
      </c>
      <c r="E26" s="82">
        <v>5</v>
      </c>
      <c r="F26" s="82"/>
      <c r="G26" s="82"/>
    </row>
    <row r="27" spans="1:7" outlineLevel="1" x14ac:dyDescent="0.35">
      <c r="A27" s="60" t="s">
        <v>15</v>
      </c>
      <c r="B27" s="82">
        <v>3.6</v>
      </c>
      <c r="C27" s="82">
        <v>3.6</v>
      </c>
      <c r="D27" s="82">
        <v>4.4000000000000004</v>
      </c>
      <c r="E27" s="82">
        <v>4.5</v>
      </c>
      <c r="F27" s="82"/>
      <c r="G27" s="82"/>
    </row>
    <row r="28" spans="1:7" outlineLevel="1" x14ac:dyDescent="0.35">
      <c r="A28" s="60" t="s">
        <v>16</v>
      </c>
      <c r="B28" s="82">
        <v>3.5</v>
      </c>
      <c r="C28" s="82">
        <v>3.4</v>
      </c>
      <c r="D28" s="82">
        <v>4.4000000000000004</v>
      </c>
      <c r="E28" s="82">
        <v>4.5999999999999996</v>
      </c>
      <c r="F28" s="82"/>
      <c r="G28" s="82"/>
    </row>
    <row r="29" spans="1:7" outlineLevel="1" x14ac:dyDescent="0.35">
      <c r="A29" s="60" t="s">
        <v>17</v>
      </c>
      <c r="B29" s="82">
        <v>3.5</v>
      </c>
      <c r="C29" s="82">
        <v>3.8</v>
      </c>
      <c r="D29" s="82">
        <v>4.0999999999999996</v>
      </c>
      <c r="E29" s="82">
        <v>5</v>
      </c>
      <c r="F29" s="82"/>
      <c r="G29" s="82"/>
    </row>
    <row r="30" spans="1:7" outlineLevel="1" x14ac:dyDescent="0.35">
      <c r="A30" s="60" t="s">
        <v>18</v>
      </c>
      <c r="B30" s="76">
        <f>IFERROR(AVERAGE(B26:B29),"")</f>
        <v>3.5</v>
      </c>
      <c r="C30" s="76">
        <f t="shared" ref="C30" si="12">IFERROR(AVERAGE(C26:C29),"")</f>
        <v>3.5999999999999996</v>
      </c>
      <c r="D30" s="76">
        <f t="shared" ref="D30" si="13">IFERROR(AVERAGE(D26:D29),"")</f>
        <v>4.375</v>
      </c>
      <c r="E30" s="76">
        <f t="shared" ref="E30" si="14">IFERROR(AVERAGE(E26:E29),"")</f>
        <v>4.7750000000000004</v>
      </c>
      <c r="F30" s="76" t="str">
        <f t="shared" ref="F30" si="15">IFERROR(AVERAGE(F26:F29),"")</f>
        <v/>
      </c>
      <c r="G30" s="76" t="str">
        <f t="shared" ref="G30" si="16">IFERROR(AVERAGE(G26:G29),"")</f>
        <v/>
      </c>
    </row>
    <row r="31" spans="1:7" outlineLevel="1" x14ac:dyDescent="0.35">
      <c r="A31" s="59" t="s">
        <v>8</v>
      </c>
      <c r="B31" s="60">
        <f t="shared" ref="B31:G31" si="17">+MAX(B26:B30)</f>
        <v>3.6</v>
      </c>
      <c r="C31" s="60">
        <f t="shared" si="17"/>
        <v>3.8</v>
      </c>
      <c r="D31" s="60">
        <f t="shared" si="17"/>
        <v>4.5999999999999996</v>
      </c>
      <c r="E31" s="60">
        <f t="shared" si="17"/>
        <v>5</v>
      </c>
      <c r="F31" s="60">
        <f t="shared" si="17"/>
        <v>0</v>
      </c>
      <c r="G31" s="60">
        <f t="shared" si="17"/>
        <v>0</v>
      </c>
    </row>
    <row r="32" spans="1:7" outlineLevel="1" x14ac:dyDescent="0.35">
      <c r="A32" s="59" t="s">
        <v>9</v>
      </c>
      <c r="B32" s="60">
        <f t="shared" ref="B32:G32" si="18">+MIN(B26:B30)</f>
        <v>3.4</v>
      </c>
      <c r="C32" s="60">
        <f t="shared" si="18"/>
        <v>3.4</v>
      </c>
      <c r="D32" s="60">
        <f t="shared" si="18"/>
        <v>4.0999999999999996</v>
      </c>
      <c r="E32" s="60">
        <f t="shared" si="18"/>
        <v>4.5</v>
      </c>
      <c r="F32" s="60">
        <f t="shared" si="18"/>
        <v>0</v>
      </c>
      <c r="G32" s="60">
        <f t="shared" si="18"/>
        <v>0</v>
      </c>
    </row>
    <row r="33" spans="1:7" outlineLevel="1" x14ac:dyDescent="0.35">
      <c r="A33" s="59" t="s">
        <v>10</v>
      </c>
      <c r="B33" s="62">
        <f t="shared" ref="B33:G33" si="19">IFERROR((SUM(B26:B30)-B31-B32)/(COUNT(B26:B30)-2),0)</f>
        <v>3.5</v>
      </c>
      <c r="C33" s="62">
        <f t="shared" si="19"/>
        <v>3.5999999999999996</v>
      </c>
      <c r="D33" s="62">
        <f t="shared" si="19"/>
        <v>4.3916666666666666</v>
      </c>
      <c r="E33" s="62">
        <f t="shared" si="19"/>
        <v>4.791666666666667</v>
      </c>
      <c r="F33" s="62">
        <f t="shared" si="19"/>
        <v>0</v>
      </c>
      <c r="G33" s="62">
        <f t="shared" si="19"/>
        <v>0</v>
      </c>
    </row>
    <row r="34" spans="1:7" outlineLevel="1" x14ac:dyDescent="0.35">
      <c r="A34" s="59" t="s">
        <v>11</v>
      </c>
      <c r="B34" s="62">
        <f>+B33*3</f>
        <v>10.5</v>
      </c>
      <c r="C34" s="62">
        <f t="shared" ref="C34:G34" si="20">+C33*3</f>
        <v>10.799999999999999</v>
      </c>
      <c r="D34" s="62">
        <f t="shared" si="20"/>
        <v>13.175000000000001</v>
      </c>
      <c r="E34" s="62">
        <f t="shared" si="20"/>
        <v>14.375</v>
      </c>
      <c r="F34" s="62">
        <f t="shared" si="20"/>
        <v>0</v>
      </c>
      <c r="G34" s="62">
        <f t="shared" si="20"/>
        <v>0</v>
      </c>
    </row>
    <row r="36" spans="1:7" x14ac:dyDescent="0.35">
      <c r="A36" s="59" t="s">
        <v>12</v>
      </c>
      <c r="B36" s="59"/>
      <c r="C36" s="59"/>
      <c r="D36" s="59"/>
      <c r="E36" s="59"/>
      <c r="F36" s="59"/>
      <c r="G36" s="59"/>
    </row>
    <row r="37" spans="1:7" x14ac:dyDescent="0.35">
      <c r="A37" s="59" t="s">
        <v>13</v>
      </c>
      <c r="B37" s="89">
        <f t="shared" ref="B37:G37" si="21">+ROUND(B12+B23+B34,3)-B36</f>
        <v>34.792000000000002</v>
      </c>
      <c r="C37" s="89">
        <f t="shared" si="21"/>
        <v>35.207999999999998</v>
      </c>
      <c r="D37" s="89">
        <f t="shared" si="21"/>
        <v>42.207999999999998</v>
      </c>
      <c r="E37" s="89">
        <f t="shared" si="21"/>
        <v>46.433</v>
      </c>
      <c r="F37" s="89">
        <f t="shared" si="21"/>
        <v>0</v>
      </c>
      <c r="G37" s="89">
        <f t="shared" si="21"/>
        <v>0</v>
      </c>
    </row>
  </sheetData>
  <sheetProtection password="D8D7" sheet="1" objects="1" scenarios="1" selectLockedCells="1"/>
  <dataValidations count="1">
    <dataValidation type="decimal" allowBlank="1" showInputMessage="1" showErrorMessage="1" sqref="D4:G7 D15:G18 D26:G29 B4:B7 B15:B18 B26:B29">
      <formula1>0</formula1>
      <formula2>10</formula2>
    </dataValidation>
  </dataValidations>
  <pageMargins left="0.7" right="0.7" top="0.75" bottom="0.75" header="0.3" footer="0.3"/>
  <pageSetup scale="95" fitToHeight="0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0" workbookViewId="0">
      <selection activeCell="D26" sqref="D26"/>
    </sheetView>
  </sheetViews>
  <sheetFormatPr defaultColWidth="9.1796875" defaultRowHeight="14.5" x14ac:dyDescent="0.35"/>
  <cols>
    <col min="1" max="1" width="0.54296875" style="49" customWidth="1"/>
    <col min="2" max="2" width="26.81640625" style="49" bestFit="1" customWidth="1"/>
    <col min="3" max="3" width="19" style="49" customWidth="1"/>
    <col min="4" max="4" width="14.7265625" style="49" bestFit="1" customWidth="1"/>
    <col min="5" max="5" width="20.54296875" style="49" customWidth="1"/>
    <col min="6" max="6" width="14.7265625" style="49" customWidth="1"/>
    <col min="7" max="16384" width="9.1796875" style="49"/>
  </cols>
  <sheetData>
    <row r="1" spans="1:10" x14ac:dyDescent="0.35">
      <c r="B1" s="52"/>
      <c r="C1" s="7" t="s">
        <v>33</v>
      </c>
      <c r="D1" s="7" t="s">
        <v>76</v>
      </c>
      <c r="E1" s="7" t="s">
        <v>35</v>
      </c>
    </row>
    <row r="2" spans="1:10" x14ac:dyDescent="0.35">
      <c r="B2" s="52" t="s">
        <v>14</v>
      </c>
      <c r="C2" s="82"/>
      <c r="D2" s="82"/>
      <c r="E2" s="82"/>
    </row>
    <row r="3" spans="1:10" x14ac:dyDescent="0.35">
      <c r="B3" s="52" t="s">
        <v>15</v>
      </c>
      <c r="C3" s="82"/>
      <c r="D3" s="82"/>
      <c r="E3" s="82"/>
    </row>
    <row r="4" spans="1:10" x14ac:dyDescent="0.35">
      <c r="B4" s="52" t="s">
        <v>16</v>
      </c>
      <c r="C4" s="82"/>
      <c r="D4" s="82"/>
      <c r="E4" s="82"/>
    </row>
    <row r="5" spans="1:10" x14ac:dyDescent="0.35">
      <c r="B5" s="52" t="s">
        <v>17</v>
      </c>
      <c r="C5" s="82"/>
      <c r="D5" s="82"/>
      <c r="E5" s="82"/>
    </row>
    <row r="7" spans="1:10" x14ac:dyDescent="0.35">
      <c r="B7" s="7" t="s">
        <v>0</v>
      </c>
      <c r="C7" s="19" t="str">
        <f>+'U10 U12'!E10</f>
        <v>SSA Level 1</v>
      </c>
      <c r="E7" s="87" t="s">
        <v>148</v>
      </c>
    </row>
    <row r="8" spans="1:10" x14ac:dyDescent="0.35">
      <c r="B8" s="7" t="s">
        <v>19</v>
      </c>
      <c r="C8" s="19" t="str">
        <f>+'U10 U12'!E11</f>
        <v>12 - 13 March 2016</v>
      </c>
    </row>
    <row r="9" spans="1:10" x14ac:dyDescent="0.35">
      <c r="B9" s="7" t="s">
        <v>1</v>
      </c>
      <c r="C9" s="19" t="s">
        <v>179</v>
      </c>
    </row>
    <row r="11" spans="1:10" x14ac:dyDescent="0.35">
      <c r="B11" s="11" t="s">
        <v>2</v>
      </c>
      <c r="C11" s="81" t="s">
        <v>6</v>
      </c>
      <c r="D11" s="8" t="s">
        <v>154</v>
      </c>
      <c r="E11" s="8" t="s">
        <v>134</v>
      </c>
      <c r="F11" s="8" t="s">
        <v>11</v>
      </c>
      <c r="G11" s="8" t="s">
        <v>20</v>
      </c>
    </row>
    <row r="12" spans="1:10" x14ac:dyDescent="0.35">
      <c r="A12" s="49">
        <f>G12</f>
        <v>2</v>
      </c>
      <c r="B12" s="52" t="s">
        <v>93</v>
      </c>
      <c r="C12" s="83">
        <v>1</v>
      </c>
      <c r="D12" s="53" t="s">
        <v>141</v>
      </c>
      <c r="E12" s="52" t="str">
        <f>B12</f>
        <v>DGC</v>
      </c>
      <c r="F12" s="22">
        <f>IFERROR(HLOOKUP($C12,'Trio Scores'!$B$3:$F$37,35,FALSE),"")</f>
        <v>34.274999999999999</v>
      </c>
      <c r="G12" s="53">
        <f>IF(F12&lt;&gt;"",RANK(F12,$F$12:$F$13,0),"")</f>
        <v>2</v>
      </c>
      <c r="J12" s="24"/>
    </row>
    <row r="13" spans="1:10" x14ac:dyDescent="0.35">
      <c r="A13" s="49">
        <f t="shared" ref="A13" si="0">G13</f>
        <v>1</v>
      </c>
      <c r="B13" s="52" t="s">
        <v>101</v>
      </c>
      <c r="C13" s="83">
        <v>2</v>
      </c>
      <c r="D13" s="53" t="s">
        <v>141</v>
      </c>
      <c r="E13" s="52" t="str">
        <f t="shared" ref="E13:E23" si="1">B13</f>
        <v>Synchronacity</v>
      </c>
      <c r="F13" s="22">
        <f>IFERROR(HLOOKUP($C13,'Trio Scores'!$B$3:$F$37,35,FALSE),"")</f>
        <v>36.716999999999999</v>
      </c>
      <c r="G13" s="53">
        <f>IF(F13&lt;&gt;"",RANK(F13,$F$12:$F$13,0),"")</f>
        <v>1</v>
      </c>
    </row>
    <row r="16" spans="1:10" x14ac:dyDescent="0.35">
      <c r="B16" s="7" t="s">
        <v>0</v>
      </c>
      <c r="C16" s="19" t="str">
        <f>+'U10 U12'!E20</f>
        <v>12 - 13 March 2016</v>
      </c>
    </row>
    <row r="17" spans="1:8" x14ac:dyDescent="0.35">
      <c r="B17" s="7" t="s">
        <v>19</v>
      </c>
      <c r="C17" s="19" t="str">
        <f>+'U10 U12'!E21</f>
        <v>U12</v>
      </c>
    </row>
    <row r="18" spans="1:8" x14ac:dyDescent="0.35">
      <c r="B18" s="7" t="s">
        <v>1</v>
      </c>
      <c r="C18" s="19" t="s">
        <v>182</v>
      </c>
    </row>
    <row r="20" spans="1:8" x14ac:dyDescent="0.35">
      <c r="A20" s="49">
        <f>G21</f>
        <v>3</v>
      </c>
      <c r="B20" s="11" t="s">
        <v>2</v>
      </c>
      <c r="C20" s="81" t="s">
        <v>6</v>
      </c>
      <c r="D20" s="8" t="s">
        <v>154</v>
      </c>
      <c r="E20" s="8" t="s">
        <v>134</v>
      </c>
      <c r="F20" s="8" t="s">
        <v>11</v>
      </c>
      <c r="G20" s="8" t="s">
        <v>20</v>
      </c>
    </row>
    <row r="21" spans="1:8" x14ac:dyDescent="0.35">
      <c r="A21" s="49">
        <f>G22</f>
        <v>2</v>
      </c>
      <c r="B21" s="52" t="s">
        <v>96</v>
      </c>
      <c r="C21" s="83">
        <v>5</v>
      </c>
      <c r="D21" s="53" t="s">
        <v>108</v>
      </c>
      <c r="E21" s="52" t="str">
        <f t="shared" si="1"/>
        <v>Umlazi Sharks</v>
      </c>
      <c r="F21" s="22">
        <f>IFERROR(HLOOKUP($C21,'Trio Scores'!$B$3:$F$37,35,FALSE),"")</f>
        <v>30.492000000000001</v>
      </c>
      <c r="G21" s="53">
        <f>IF(F21&lt;&gt;"",RANK(F21,$F$21:$F$23,0),"")</f>
        <v>3</v>
      </c>
    </row>
    <row r="22" spans="1:8" x14ac:dyDescent="0.35">
      <c r="A22" s="49">
        <f>G23</f>
        <v>1</v>
      </c>
      <c r="B22" s="52" t="s">
        <v>93</v>
      </c>
      <c r="C22" s="83">
        <v>3</v>
      </c>
      <c r="D22" s="53" t="s">
        <v>108</v>
      </c>
      <c r="E22" s="52" t="str">
        <f t="shared" si="1"/>
        <v>DGC</v>
      </c>
      <c r="F22" s="22">
        <f>IFERROR(HLOOKUP($C22,'Trio Scores'!$B$3:$F$37,35,FALSE),"")</f>
        <v>39.883000000000003</v>
      </c>
      <c r="G22" s="53">
        <f t="shared" ref="G22:G23" si="2">IF(F22&lt;&gt;"",RANK(F22,$F$21:$F$23,0),"")</f>
        <v>2</v>
      </c>
    </row>
    <row r="23" spans="1:8" x14ac:dyDescent="0.35">
      <c r="B23" s="52" t="s">
        <v>101</v>
      </c>
      <c r="C23" s="83">
        <v>4</v>
      </c>
      <c r="D23" s="53" t="s">
        <v>108</v>
      </c>
      <c r="E23" s="52" t="str">
        <f t="shared" si="1"/>
        <v>Synchronacity</v>
      </c>
      <c r="F23" s="22">
        <f>IFERROR(HLOOKUP($C23,'Trio Scores'!$B$3:$F$37,35,FALSE),"")</f>
        <v>41.658000000000001</v>
      </c>
      <c r="G23" s="53">
        <f t="shared" si="2"/>
        <v>1</v>
      </c>
      <c r="H23" s="13"/>
    </row>
    <row r="24" spans="1:8" x14ac:dyDescent="0.35">
      <c r="F24" s="13"/>
      <c r="G24" s="13"/>
      <c r="H24" s="13"/>
    </row>
    <row r="25" spans="1:8" x14ac:dyDescent="0.35">
      <c r="F25" s="13"/>
      <c r="G25" s="13"/>
    </row>
  </sheetData>
  <sheetProtection selectLockedCells="1"/>
  <pageMargins left="0.7" right="0.7" top="0.75" bottom="0.75" header="0.3" footer="0.3"/>
  <pageSetup paperSize="9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BreakPreview" topLeftCell="A13" zoomScaleNormal="100" zoomScaleSheetLayoutView="100" workbookViewId="0">
      <selection activeCell="E27" sqref="E27"/>
    </sheetView>
  </sheetViews>
  <sheetFormatPr defaultColWidth="9.1796875" defaultRowHeight="14.5" outlineLevelRow="1" x14ac:dyDescent="0.35"/>
  <cols>
    <col min="1" max="1" width="23.453125" style="2" bestFit="1" customWidth="1"/>
    <col min="2" max="6" width="12.26953125" style="49" customWidth="1"/>
    <col min="7" max="16384" width="9.1796875" style="49"/>
  </cols>
  <sheetData>
    <row r="1" spans="1:6" ht="21" x14ac:dyDescent="0.5">
      <c r="A1" s="43" t="s">
        <v>172</v>
      </c>
      <c r="B1" s="43" t="s">
        <v>185</v>
      </c>
    </row>
    <row r="3" spans="1:6" s="2" customFormat="1" outlineLevel="1" x14ac:dyDescent="0.35">
      <c r="A3" s="59" t="s">
        <v>33</v>
      </c>
      <c r="B3" s="59">
        <v>1</v>
      </c>
      <c r="C3" s="59">
        <v>2</v>
      </c>
      <c r="D3" s="59">
        <v>3</v>
      </c>
      <c r="E3" s="59">
        <v>4</v>
      </c>
      <c r="F3" s="59">
        <v>5</v>
      </c>
    </row>
    <row r="4" spans="1:6" outlineLevel="1" x14ac:dyDescent="0.35">
      <c r="A4" s="60" t="s">
        <v>14</v>
      </c>
      <c r="B4" s="82">
        <v>3.6</v>
      </c>
      <c r="C4" s="82">
        <v>3.4</v>
      </c>
      <c r="D4" s="82">
        <v>3.9</v>
      </c>
      <c r="E4" s="82">
        <v>4.3</v>
      </c>
      <c r="F4" s="82">
        <v>3.4</v>
      </c>
    </row>
    <row r="5" spans="1:6" outlineLevel="1" x14ac:dyDescent="0.35">
      <c r="A5" s="60" t="s">
        <v>15</v>
      </c>
      <c r="B5" s="82">
        <v>3.2</v>
      </c>
      <c r="C5" s="82">
        <v>4.4000000000000004</v>
      </c>
      <c r="D5" s="82">
        <v>3.4</v>
      </c>
      <c r="E5" s="82">
        <v>4.4000000000000004</v>
      </c>
      <c r="F5" s="82">
        <v>3.1</v>
      </c>
    </row>
    <row r="6" spans="1:6" outlineLevel="1" x14ac:dyDescent="0.35">
      <c r="A6" s="60" t="s">
        <v>16</v>
      </c>
      <c r="B6" s="82">
        <v>3.6</v>
      </c>
      <c r="C6" s="82">
        <v>4.3</v>
      </c>
      <c r="D6" s="82">
        <v>3.7</v>
      </c>
      <c r="E6" s="82">
        <v>3.6</v>
      </c>
      <c r="F6" s="82">
        <v>2.5</v>
      </c>
    </row>
    <row r="7" spans="1:6" outlineLevel="1" x14ac:dyDescent="0.35">
      <c r="A7" s="60" t="s">
        <v>17</v>
      </c>
      <c r="B7" s="82">
        <v>3.1</v>
      </c>
      <c r="C7" s="82">
        <v>3.3</v>
      </c>
      <c r="D7" s="82">
        <v>4.3</v>
      </c>
      <c r="E7" s="82">
        <v>4</v>
      </c>
      <c r="F7" s="82">
        <v>2.5</v>
      </c>
    </row>
    <row r="8" spans="1:6" outlineLevel="1" x14ac:dyDescent="0.35">
      <c r="A8" s="60" t="s">
        <v>18</v>
      </c>
      <c r="B8" s="61">
        <f>IFERROR(AVERAGE(B4:B7),"")</f>
        <v>3.375</v>
      </c>
      <c r="C8" s="61">
        <f t="shared" ref="C8:F8" si="0">IFERROR(AVERAGE(C4:C7),"")</f>
        <v>3.8500000000000005</v>
      </c>
      <c r="D8" s="61">
        <f t="shared" si="0"/>
        <v>3.8250000000000002</v>
      </c>
      <c r="E8" s="61">
        <f t="shared" si="0"/>
        <v>4.0749999999999993</v>
      </c>
      <c r="F8" s="61">
        <f t="shared" si="0"/>
        <v>2.875</v>
      </c>
    </row>
    <row r="9" spans="1:6" s="2" customFormat="1" outlineLevel="1" x14ac:dyDescent="0.35">
      <c r="A9" s="59" t="s">
        <v>8</v>
      </c>
      <c r="B9" s="60">
        <f t="shared" ref="B9:F9" si="1">+MAX(B4:B8)</f>
        <v>3.6</v>
      </c>
      <c r="C9" s="60">
        <f t="shared" si="1"/>
        <v>4.4000000000000004</v>
      </c>
      <c r="D9" s="60">
        <f t="shared" si="1"/>
        <v>4.3</v>
      </c>
      <c r="E9" s="60">
        <f t="shared" si="1"/>
        <v>4.4000000000000004</v>
      </c>
      <c r="F9" s="60">
        <f t="shared" si="1"/>
        <v>3.4</v>
      </c>
    </row>
    <row r="10" spans="1:6" s="2" customFormat="1" outlineLevel="1" x14ac:dyDescent="0.35">
      <c r="A10" s="59" t="s">
        <v>9</v>
      </c>
      <c r="B10" s="60">
        <f t="shared" ref="B10:F10" si="2">+MIN(B4:B8)</f>
        <v>3.1</v>
      </c>
      <c r="C10" s="60">
        <f t="shared" si="2"/>
        <v>3.3</v>
      </c>
      <c r="D10" s="60">
        <f t="shared" si="2"/>
        <v>3.4</v>
      </c>
      <c r="E10" s="60">
        <f t="shared" si="2"/>
        <v>3.6</v>
      </c>
      <c r="F10" s="60">
        <f t="shared" si="2"/>
        <v>2.5</v>
      </c>
    </row>
    <row r="11" spans="1:6" s="2" customFormat="1" outlineLevel="1" x14ac:dyDescent="0.35">
      <c r="A11" s="59" t="s">
        <v>10</v>
      </c>
      <c r="B11" s="62">
        <f t="shared" ref="B11:F11" si="3">IFERROR((SUM(B4:B8)-B9-B10)/(COUNT(B4:B8)-2),0)</f>
        <v>3.3916666666666671</v>
      </c>
      <c r="C11" s="62">
        <f t="shared" si="3"/>
        <v>3.8500000000000014</v>
      </c>
      <c r="D11" s="62">
        <f t="shared" si="3"/>
        <v>3.8083333333333331</v>
      </c>
      <c r="E11" s="62">
        <f t="shared" si="3"/>
        <v>4.1249999999999991</v>
      </c>
      <c r="F11" s="62">
        <f t="shared" si="3"/>
        <v>2.8249999999999997</v>
      </c>
    </row>
    <row r="12" spans="1:6" s="2" customFormat="1" outlineLevel="1" x14ac:dyDescent="0.35">
      <c r="A12" s="59" t="s">
        <v>11</v>
      </c>
      <c r="B12" s="63">
        <f>+B11*3</f>
        <v>10.175000000000001</v>
      </c>
      <c r="C12" s="63">
        <f t="shared" ref="C12:F12" si="4">+C11*3</f>
        <v>11.550000000000004</v>
      </c>
      <c r="D12" s="63">
        <f t="shared" si="4"/>
        <v>11.424999999999999</v>
      </c>
      <c r="E12" s="63">
        <f t="shared" si="4"/>
        <v>12.374999999999996</v>
      </c>
      <c r="F12" s="63">
        <f t="shared" si="4"/>
        <v>8.4749999999999996</v>
      </c>
    </row>
    <row r="13" spans="1:6" s="2" customFormat="1" x14ac:dyDescent="0.35"/>
    <row r="14" spans="1:6" s="2" customFormat="1" outlineLevel="1" x14ac:dyDescent="0.35">
      <c r="A14" s="59" t="s">
        <v>34</v>
      </c>
      <c r="B14" s="59">
        <v>1</v>
      </c>
      <c r="C14" s="59">
        <v>2</v>
      </c>
      <c r="D14" s="59">
        <v>3</v>
      </c>
      <c r="E14" s="59">
        <v>4</v>
      </c>
      <c r="F14" s="59">
        <v>5</v>
      </c>
    </row>
    <row r="15" spans="1:6" outlineLevel="1" x14ac:dyDescent="0.35">
      <c r="A15" s="60" t="s">
        <v>14</v>
      </c>
      <c r="B15" s="82">
        <v>3.4</v>
      </c>
      <c r="C15" s="82">
        <v>3.6</v>
      </c>
      <c r="D15" s="82">
        <v>4.0999999999999996</v>
      </c>
      <c r="E15" s="82">
        <v>4.5</v>
      </c>
      <c r="F15" s="82">
        <v>3.5</v>
      </c>
    </row>
    <row r="16" spans="1:6" outlineLevel="1" x14ac:dyDescent="0.35">
      <c r="A16" s="60" t="s">
        <v>15</v>
      </c>
      <c r="B16" s="82">
        <v>3.4</v>
      </c>
      <c r="C16" s="82">
        <v>4.0999999999999996</v>
      </c>
      <c r="D16" s="82">
        <v>3.4</v>
      </c>
      <c r="E16" s="82">
        <v>4.5</v>
      </c>
      <c r="F16" s="82">
        <v>3.2</v>
      </c>
    </row>
    <row r="17" spans="1:9" outlineLevel="1" x14ac:dyDescent="0.35">
      <c r="A17" s="60" t="s">
        <v>16</v>
      </c>
      <c r="B17" s="82">
        <v>3.3</v>
      </c>
      <c r="C17" s="82">
        <v>4.2</v>
      </c>
      <c r="D17" s="82">
        <v>4</v>
      </c>
      <c r="E17" s="82">
        <v>3.4</v>
      </c>
      <c r="F17" s="82">
        <v>2.7</v>
      </c>
    </row>
    <row r="18" spans="1:9" outlineLevel="1" x14ac:dyDescent="0.35">
      <c r="A18" s="60" t="s">
        <v>17</v>
      </c>
      <c r="B18" s="82">
        <v>3.3</v>
      </c>
      <c r="C18" s="82">
        <v>3.1</v>
      </c>
      <c r="D18" s="82">
        <v>4.5</v>
      </c>
      <c r="E18" s="82">
        <v>4.5</v>
      </c>
      <c r="F18" s="82">
        <v>2.8</v>
      </c>
    </row>
    <row r="19" spans="1:9" outlineLevel="1" x14ac:dyDescent="0.35">
      <c r="A19" s="60" t="s">
        <v>18</v>
      </c>
      <c r="B19" s="61">
        <f>IFERROR(AVERAGE(B15:B18),"")</f>
        <v>3.3499999999999996</v>
      </c>
      <c r="C19" s="61">
        <f>IFERROR(AVERAGE(C15:C18),"")</f>
        <v>3.7499999999999996</v>
      </c>
      <c r="D19" s="61">
        <f t="shared" ref="D19" si="5">IFERROR(AVERAGE(D15:D18),"")</f>
        <v>4</v>
      </c>
      <c r="E19" s="61">
        <f t="shared" ref="E19" si="6">IFERROR(AVERAGE(E15:E18),"")</f>
        <v>4.2249999999999996</v>
      </c>
      <c r="F19" s="61">
        <f t="shared" ref="F19" si="7">IFERROR(AVERAGE(F15:F18),"")</f>
        <v>3.05</v>
      </c>
    </row>
    <row r="20" spans="1:9" s="2" customFormat="1" outlineLevel="1" x14ac:dyDescent="0.35">
      <c r="A20" s="59" t="s">
        <v>8</v>
      </c>
      <c r="B20" s="60">
        <f>+MAX(B15:B19)</f>
        <v>3.4</v>
      </c>
      <c r="C20" s="60">
        <f>+MAX(C15:C19)</f>
        <v>4.2</v>
      </c>
      <c r="D20" s="60">
        <f t="shared" ref="D20:F20" si="8">+MAX(D15:D19)</f>
        <v>4.5</v>
      </c>
      <c r="E20" s="60">
        <f t="shared" si="8"/>
        <v>4.5</v>
      </c>
      <c r="F20" s="60">
        <f t="shared" si="8"/>
        <v>3.5</v>
      </c>
      <c r="I20" s="49"/>
    </row>
    <row r="21" spans="1:9" s="2" customFormat="1" outlineLevel="1" x14ac:dyDescent="0.35">
      <c r="A21" s="59" t="s">
        <v>9</v>
      </c>
      <c r="B21" s="60">
        <f>+MIN(B15:B19)</f>
        <v>3.3</v>
      </c>
      <c r="C21" s="60">
        <f>+MIN(C15:C19)</f>
        <v>3.1</v>
      </c>
      <c r="D21" s="60">
        <f t="shared" ref="D21:F21" si="9">+MIN(D15:D19)</f>
        <v>3.4</v>
      </c>
      <c r="E21" s="60">
        <f t="shared" si="9"/>
        <v>3.4</v>
      </c>
      <c r="F21" s="60">
        <f t="shared" si="9"/>
        <v>2.7</v>
      </c>
    </row>
    <row r="22" spans="1:9" s="2" customFormat="1" outlineLevel="1" x14ac:dyDescent="0.35">
      <c r="A22" s="59" t="s">
        <v>10</v>
      </c>
      <c r="B22" s="62">
        <f>IFERROR((SUM(B15:B19)-B20-B21)/(COUNT(B15:B19)-2),0)</f>
        <v>3.35</v>
      </c>
      <c r="C22" s="62">
        <f>IFERROR((SUM(C15:C19)-C20-C21)/(COUNT(C15:C19)-2),0)</f>
        <v>3.816666666666666</v>
      </c>
      <c r="D22" s="62">
        <f t="shared" ref="D22:F22" si="10">IFERROR((SUM(D15:D19)-D20-D21)/(COUNT(D15:D19)-2),0)</f>
        <v>4.0333333333333332</v>
      </c>
      <c r="E22" s="62">
        <f t="shared" si="10"/>
        <v>4.4083333333333332</v>
      </c>
      <c r="F22" s="62">
        <f t="shared" si="10"/>
        <v>3.0166666666666671</v>
      </c>
    </row>
    <row r="23" spans="1:9" s="2" customFormat="1" outlineLevel="1" x14ac:dyDescent="0.35">
      <c r="A23" s="59" t="s">
        <v>11</v>
      </c>
      <c r="B23" s="62">
        <f>+B22*4</f>
        <v>13.4</v>
      </c>
      <c r="C23" s="62">
        <f t="shared" ref="C23:F23" si="11">+C22*4</f>
        <v>15.266666666666664</v>
      </c>
      <c r="D23" s="62">
        <f t="shared" si="11"/>
        <v>16.133333333333333</v>
      </c>
      <c r="E23" s="62">
        <f t="shared" si="11"/>
        <v>17.633333333333333</v>
      </c>
      <c r="F23" s="62">
        <f t="shared" si="11"/>
        <v>12.066666666666668</v>
      </c>
    </row>
    <row r="24" spans="1:9" s="2" customFormat="1" x14ac:dyDescent="0.35"/>
    <row r="25" spans="1:9" s="2" customFormat="1" outlineLevel="1" x14ac:dyDescent="0.35">
      <c r="A25" s="59" t="s">
        <v>35</v>
      </c>
      <c r="B25" s="59">
        <v>1</v>
      </c>
      <c r="C25" s="59">
        <v>2</v>
      </c>
      <c r="D25" s="59">
        <v>3</v>
      </c>
      <c r="E25" s="59">
        <v>4</v>
      </c>
      <c r="F25" s="59">
        <v>5</v>
      </c>
    </row>
    <row r="26" spans="1:9" outlineLevel="1" x14ac:dyDescent="0.35">
      <c r="A26" s="60" t="s">
        <v>14</v>
      </c>
      <c r="B26" s="82">
        <v>4.3</v>
      </c>
      <c r="C26" s="82">
        <v>3.5</v>
      </c>
      <c r="D26" s="82">
        <v>4</v>
      </c>
      <c r="E26" s="82">
        <v>4.4000000000000004</v>
      </c>
      <c r="F26" s="82">
        <v>3.4</v>
      </c>
    </row>
    <row r="27" spans="1:9" outlineLevel="1" x14ac:dyDescent="0.35">
      <c r="A27" s="60" t="s">
        <v>15</v>
      </c>
      <c r="B27" s="82">
        <v>3.5</v>
      </c>
      <c r="C27" s="82">
        <v>3.1</v>
      </c>
      <c r="D27" s="82">
        <v>3.5</v>
      </c>
      <c r="E27" s="82">
        <v>3.9</v>
      </c>
      <c r="F27" s="82">
        <v>3.3</v>
      </c>
    </row>
    <row r="28" spans="1:9" outlineLevel="1" x14ac:dyDescent="0.35">
      <c r="A28" s="60" t="s">
        <v>16</v>
      </c>
      <c r="B28" s="82">
        <v>3.5</v>
      </c>
      <c r="C28" s="82">
        <v>3.6</v>
      </c>
      <c r="D28" s="82">
        <v>4.3</v>
      </c>
      <c r="E28" s="82">
        <v>3.2</v>
      </c>
      <c r="F28" s="82">
        <v>2.9</v>
      </c>
    </row>
    <row r="29" spans="1:9" outlineLevel="1" x14ac:dyDescent="0.35">
      <c r="A29" s="60" t="s">
        <v>17</v>
      </c>
      <c r="B29" s="82">
        <v>3.5</v>
      </c>
      <c r="C29" s="82">
        <v>3</v>
      </c>
      <c r="D29" s="82">
        <v>4.3</v>
      </c>
      <c r="E29" s="82">
        <v>3.9</v>
      </c>
      <c r="F29" s="82">
        <v>3.4</v>
      </c>
    </row>
    <row r="30" spans="1:9" outlineLevel="1" x14ac:dyDescent="0.35">
      <c r="A30" s="60" t="s">
        <v>18</v>
      </c>
      <c r="B30" s="61">
        <f>IFERROR(AVERAGE(B26:B29),"")</f>
        <v>3.7</v>
      </c>
      <c r="C30" s="61">
        <f t="shared" ref="C30" si="12">IFERROR(AVERAGE(C26:C29),"")</f>
        <v>3.3</v>
      </c>
      <c r="D30" s="61">
        <f t="shared" ref="D30" si="13">IFERROR(AVERAGE(D26:D29),"")</f>
        <v>4.0250000000000004</v>
      </c>
      <c r="E30" s="61">
        <f t="shared" ref="E30" si="14">IFERROR(AVERAGE(E26:E29),"")</f>
        <v>3.85</v>
      </c>
      <c r="F30" s="61">
        <f t="shared" ref="F30" si="15">IFERROR(AVERAGE(F26:F29),"")</f>
        <v>3.25</v>
      </c>
    </row>
    <row r="31" spans="1:9" s="2" customFormat="1" outlineLevel="1" x14ac:dyDescent="0.35">
      <c r="A31" s="59" t="s">
        <v>8</v>
      </c>
      <c r="B31" s="60">
        <f t="shared" ref="B31:F31" si="16">+MAX(B26:B30)</f>
        <v>4.3</v>
      </c>
      <c r="C31" s="60">
        <f t="shared" si="16"/>
        <v>3.6</v>
      </c>
      <c r="D31" s="60">
        <f t="shared" si="16"/>
        <v>4.3</v>
      </c>
      <c r="E31" s="60">
        <f t="shared" si="16"/>
        <v>4.4000000000000004</v>
      </c>
      <c r="F31" s="60">
        <f t="shared" si="16"/>
        <v>3.4</v>
      </c>
    </row>
    <row r="32" spans="1:9" s="2" customFormat="1" outlineLevel="1" x14ac:dyDescent="0.35">
      <c r="A32" s="59" t="s">
        <v>9</v>
      </c>
      <c r="B32" s="60">
        <f t="shared" ref="B32:F32" si="17">+MIN(B26:B30)</f>
        <v>3.5</v>
      </c>
      <c r="C32" s="60">
        <f t="shared" si="17"/>
        <v>3</v>
      </c>
      <c r="D32" s="60">
        <f t="shared" si="17"/>
        <v>3.5</v>
      </c>
      <c r="E32" s="60">
        <f t="shared" si="17"/>
        <v>3.2</v>
      </c>
      <c r="F32" s="60">
        <f t="shared" si="17"/>
        <v>2.9</v>
      </c>
    </row>
    <row r="33" spans="1:6" s="2" customFormat="1" outlineLevel="1" x14ac:dyDescent="0.35">
      <c r="A33" s="59" t="s">
        <v>10</v>
      </c>
      <c r="B33" s="62">
        <f t="shared" ref="B33:F33" si="18">IFERROR((SUM(B26:B30)-B31-B32)/(COUNT(B26:B30)-2),0)</f>
        <v>3.5666666666666664</v>
      </c>
      <c r="C33" s="62">
        <f t="shared" si="18"/>
        <v>3.3000000000000003</v>
      </c>
      <c r="D33" s="62">
        <f t="shared" si="18"/>
        <v>4.1083333333333334</v>
      </c>
      <c r="E33" s="62">
        <f t="shared" si="18"/>
        <v>3.8833333333333329</v>
      </c>
      <c r="F33" s="62">
        <f t="shared" si="18"/>
        <v>3.3166666666666664</v>
      </c>
    </row>
    <row r="34" spans="1:6" s="2" customFormat="1" outlineLevel="1" x14ac:dyDescent="0.35">
      <c r="A34" s="59" t="s">
        <v>11</v>
      </c>
      <c r="B34" s="62">
        <f>+B33*3</f>
        <v>10.7</v>
      </c>
      <c r="C34" s="62">
        <f t="shared" ref="C34:F34" si="19">+C33*3</f>
        <v>9.9</v>
      </c>
      <c r="D34" s="62">
        <f t="shared" si="19"/>
        <v>12.324999999999999</v>
      </c>
      <c r="E34" s="62">
        <f t="shared" si="19"/>
        <v>11.649999999999999</v>
      </c>
      <c r="F34" s="62">
        <f t="shared" si="19"/>
        <v>9.9499999999999993</v>
      </c>
    </row>
    <row r="35" spans="1:6" s="2" customFormat="1" x14ac:dyDescent="0.35"/>
    <row r="36" spans="1:6" s="2" customFormat="1" x14ac:dyDescent="0.35">
      <c r="A36" s="59" t="s">
        <v>12</v>
      </c>
      <c r="B36" s="59"/>
      <c r="C36" s="59"/>
      <c r="D36" s="59"/>
      <c r="E36" s="59"/>
      <c r="F36" s="59"/>
    </row>
    <row r="37" spans="1:6" s="2" customFormat="1" x14ac:dyDescent="0.35">
      <c r="A37" s="59" t="s">
        <v>13</v>
      </c>
      <c r="B37" s="89">
        <f t="shared" ref="B37:F37" si="20">+ROUND(B12+B23+B34,3)-B36</f>
        <v>34.274999999999999</v>
      </c>
      <c r="C37" s="89">
        <f t="shared" si="20"/>
        <v>36.716999999999999</v>
      </c>
      <c r="D37" s="89">
        <f t="shared" si="20"/>
        <v>39.883000000000003</v>
      </c>
      <c r="E37" s="89">
        <f t="shared" si="20"/>
        <v>41.658000000000001</v>
      </c>
      <c r="F37" s="89">
        <f t="shared" si="20"/>
        <v>30.492000000000001</v>
      </c>
    </row>
  </sheetData>
  <sheetProtection password="D8D7" sheet="1" objects="1" scenarios="1" selectLockedCells="1"/>
  <dataValidations count="1">
    <dataValidation type="decimal" allowBlank="1" showInputMessage="1" showErrorMessage="1" sqref="D4:F7 D15:F18 D26:F29 B4:B7 B15:B18 B26:B29">
      <formula1>0</formula1>
      <formula2>10</formula2>
    </dataValidation>
  </dataValidations>
  <pageMargins left="0.7" right="0.7" top="0.75" bottom="0.75" header="0.3" footer="0.3"/>
  <pageSetup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I49" zoomScaleNormal="100" zoomScaleSheetLayoutView="89" workbookViewId="0">
      <selection activeCell="N67" sqref="N67"/>
    </sheetView>
  </sheetViews>
  <sheetFormatPr defaultColWidth="9.1796875" defaultRowHeight="14.5" x14ac:dyDescent="0.35"/>
  <cols>
    <col min="1" max="1" width="3" style="50" customWidth="1"/>
    <col min="2" max="2" width="16.7265625" style="50" customWidth="1"/>
    <col min="3" max="3" width="14.7265625" style="50" customWidth="1"/>
    <col min="4" max="4" width="9.1796875" style="50" customWidth="1"/>
    <col min="5" max="5" width="13.26953125" style="50" customWidth="1"/>
    <col min="6" max="11" width="14.7265625" style="50" customWidth="1"/>
    <col min="12" max="12" width="7.7265625" style="50" customWidth="1"/>
    <col min="13" max="13" width="13.54296875" style="50" bestFit="1" customWidth="1"/>
    <col min="14" max="19" width="14.7265625" style="50" customWidth="1"/>
    <col min="20" max="16384" width="9.1796875" style="50"/>
  </cols>
  <sheetData>
    <row r="1" spans="1:19" x14ac:dyDescent="0.35">
      <c r="B1" s="5" t="str">
        <f>+Competitiors!A1</f>
        <v>SSA SYNCHRONISED LEVEL 1 MARCH 2016</v>
      </c>
      <c r="C1" s="5"/>
    </row>
    <row r="2" spans="1:19" x14ac:dyDescent="0.35">
      <c r="B2" s="5" t="s">
        <v>67</v>
      </c>
      <c r="C2" s="5" t="s">
        <v>165</v>
      </c>
      <c r="E2" s="4" t="s">
        <v>168</v>
      </c>
      <c r="M2" s="4" t="s">
        <v>169</v>
      </c>
    </row>
    <row r="4" spans="1:19" x14ac:dyDescent="0.35">
      <c r="B4" s="45" t="s">
        <v>149</v>
      </c>
      <c r="C4" s="8" t="s">
        <v>167</v>
      </c>
      <c r="E4" s="45" t="str">
        <f>+B4</f>
        <v>Novice U10</v>
      </c>
      <c r="F4" s="53" t="s">
        <v>125</v>
      </c>
      <c r="G4" s="53" t="s">
        <v>105</v>
      </c>
      <c r="H4" s="53" t="s">
        <v>90</v>
      </c>
      <c r="I4" s="53" t="s">
        <v>96</v>
      </c>
      <c r="J4" s="53" t="s">
        <v>101</v>
      </c>
      <c r="K4" s="64" t="s">
        <v>93</v>
      </c>
      <c r="M4" s="45" t="s">
        <v>149</v>
      </c>
      <c r="N4" s="53" t="s">
        <v>125</v>
      </c>
      <c r="O4" s="53" t="s">
        <v>105</v>
      </c>
      <c r="P4" s="53" t="s">
        <v>90</v>
      </c>
      <c r="Q4" s="53" t="s">
        <v>96</v>
      </c>
      <c r="R4" s="53" t="s">
        <v>101</v>
      </c>
      <c r="S4" s="64" t="s">
        <v>93</v>
      </c>
    </row>
    <row r="5" spans="1:19" x14ac:dyDescent="0.35">
      <c r="A5" s="50">
        <v>1</v>
      </c>
      <c r="B5" s="53" t="str">
        <f>IFERROR(VLOOKUP(A5,Novice!$A$15:$E$18,5,FALSE),0)</f>
        <v>Tuks</v>
      </c>
      <c r="C5" s="53" t="str">
        <f>IFERROR(VLOOKUP(A5,Novice!$B$15:$E$18,3,FALSE),"")</f>
        <v/>
      </c>
      <c r="E5" s="46">
        <v>14</v>
      </c>
      <c r="F5" s="53">
        <f>IF($B5=F$4,$E5,0)</f>
        <v>0</v>
      </c>
      <c r="G5" s="53">
        <f t="shared" ref="G5:K8" si="0">IF($B5=G$4,$E5,0)</f>
        <v>14</v>
      </c>
      <c r="H5" s="53">
        <f t="shared" si="0"/>
        <v>0</v>
      </c>
      <c r="I5" s="53">
        <f t="shared" si="0"/>
        <v>0</v>
      </c>
      <c r="J5" s="53">
        <f t="shared" si="0"/>
        <v>0</v>
      </c>
      <c r="K5" s="53">
        <f t="shared" si="0"/>
        <v>0</v>
      </c>
      <c r="M5" s="46">
        <v>14</v>
      </c>
      <c r="N5" s="53">
        <f>IF($C5=N$4,$M5,0)</f>
        <v>0</v>
      </c>
      <c r="O5" s="53">
        <f t="shared" ref="O5:S8" si="1">IF($C5=O$4,$M5,0)</f>
        <v>0</v>
      </c>
      <c r="P5" s="53">
        <f t="shared" si="1"/>
        <v>0</v>
      </c>
      <c r="Q5" s="53">
        <f t="shared" si="1"/>
        <v>0</v>
      </c>
      <c r="R5" s="53">
        <f t="shared" si="1"/>
        <v>0</v>
      </c>
      <c r="S5" s="53">
        <f t="shared" si="1"/>
        <v>0</v>
      </c>
    </row>
    <row r="6" spans="1:19" x14ac:dyDescent="0.35">
      <c r="A6" s="50">
        <v>2</v>
      </c>
      <c r="B6" s="53">
        <f>IFERROR(VLOOKUP(A6,Novice!$A$15:$E$18,5,FALSE),0)</f>
        <v>0</v>
      </c>
      <c r="C6" s="53" t="str">
        <f>IFERROR(VLOOKUP(A6,Novice!$B$15:$E$18,3,FALSE),"")</f>
        <v/>
      </c>
      <c r="E6" s="46">
        <v>11</v>
      </c>
      <c r="F6" s="53">
        <f t="shared" ref="F6:F8" si="2">IF($B6=F$4,$E6,0)</f>
        <v>0</v>
      </c>
      <c r="G6" s="53">
        <f t="shared" si="0"/>
        <v>0</v>
      </c>
      <c r="H6" s="53">
        <f t="shared" si="0"/>
        <v>0</v>
      </c>
      <c r="I6" s="53">
        <f t="shared" si="0"/>
        <v>0</v>
      </c>
      <c r="J6" s="53">
        <f t="shared" si="0"/>
        <v>0</v>
      </c>
      <c r="K6" s="53">
        <f t="shared" si="0"/>
        <v>0</v>
      </c>
      <c r="M6" s="46">
        <v>11</v>
      </c>
      <c r="N6" s="53">
        <f t="shared" ref="N6:N8" si="3">IF($C6=N$4,$M6,0)</f>
        <v>0</v>
      </c>
      <c r="O6" s="53">
        <f t="shared" si="1"/>
        <v>0</v>
      </c>
      <c r="P6" s="53">
        <f t="shared" si="1"/>
        <v>0</v>
      </c>
      <c r="Q6" s="53">
        <f t="shared" si="1"/>
        <v>0</v>
      </c>
      <c r="R6" s="53">
        <f t="shared" si="1"/>
        <v>0</v>
      </c>
      <c r="S6" s="53">
        <f t="shared" si="1"/>
        <v>0</v>
      </c>
    </row>
    <row r="7" spans="1:19" x14ac:dyDescent="0.35">
      <c r="A7" s="50">
        <v>3</v>
      </c>
      <c r="B7" s="53">
        <f>IFERROR(VLOOKUP(A7,Novice!$A$15:$E$18,5,FALSE),0)</f>
        <v>0</v>
      </c>
      <c r="C7" s="53" t="str">
        <f>IFERROR(VLOOKUP(A7,Novice!$B$15:$E$18,3,FALSE),"")</f>
        <v/>
      </c>
      <c r="E7" s="53">
        <v>9</v>
      </c>
      <c r="F7" s="53">
        <f t="shared" si="2"/>
        <v>0</v>
      </c>
      <c r="G7" s="53">
        <f t="shared" si="0"/>
        <v>0</v>
      </c>
      <c r="H7" s="53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M7" s="53">
        <v>9</v>
      </c>
      <c r="N7" s="53">
        <f t="shared" si="3"/>
        <v>0</v>
      </c>
      <c r="O7" s="53">
        <f t="shared" si="1"/>
        <v>0</v>
      </c>
      <c r="P7" s="53">
        <f t="shared" si="1"/>
        <v>0</v>
      </c>
      <c r="Q7" s="53">
        <f t="shared" si="1"/>
        <v>0</v>
      </c>
      <c r="R7" s="53">
        <f t="shared" si="1"/>
        <v>0</v>
      </c>
      <c r="S7" s="53">
        <f t="shared" si="1"/>
        <v>0</v>
      </c>
    </row>
    <row r="8" spans="1:19" x14ac:dyDescent="0.35">
      <c r="A8" s="50">
        <v>4</v>
      </c>
      <c r="B8" s="53">
        <f>IFERROR(VLOOKUP(A8,Novice!$A$15:$E$18,5,FALSE),0)</f>
        <v>0</v>
      </c>
      <c r="C8" s="53" t="str">
        <f>IFERROR(VLOOKUP(A8,Novice!$B$15:$E$18,3,FALSE),"")</f>
        <v/>
      </c>
      <c r="E8" s="53">
        <v>7</v>
      </c>
      <c r="F8" s="53">
        <f t="shared" si="2"/>
        <v>0</v>
      </c>
      <c r="G8" s="53">
        <f t="shared" si="0"/>
        <v>0</v>
      </c>
      <c r="H8" s="53">
        <f t="shared" si="0"/>
        <v>0</v>
      </c>
      <c r="I8" s="53">
        <f t="shared" si="0"/>
        <v>0</v>
      </c>
      <c r="J8" s="53">
        <f t="shared" si="0"/>
        <v>0</v>
      </c>
      <c r="K8" s="53">
        <f t="shared" si="0"/>
        <v>0</v>
      </c>
      <c r="M8" s="53">
        <v>7</v>
      </c>
      <c r="N8" s="53">
        <f t="shared" si="3"/>
        <v>0</v>
      </c>
      <c r="O8" s="53">
        <f t="shared" si="1"/>
        <v>0</v>
      </c>
      <c r="P8" s="53">
        <f t="shared" si="1"/>
        <v>0</v>
      </c>
      <c r="Q8" s="53">
        <f t="shared" si="1"/>
        <v>0</v>
      </c>
      <c r="R8" s="53">
        <f t="shared" si="1"/>
        <v>0</v>
      </c>
      <c r="S8" s="53">
        <f t="shared" si="1"/>
        <v>0</v>
      </c>
    </row>
    <row r="9" spans="1:19" x14ac:dyDescent="0.35">
      <c r="B9" s="57"/>
      <c r="C9" s="57"/>
      <c r="E9" s="88" t="s">
        <v>5</v>
      </c>
      <c r="F9" s="88">
        <f>SUM(F5:F8)</f>
        <v>0</v>
      </c>
      <c r="G9" s="88">
        <f t="shared" ref="G9:K9" si="4">SUM(G5:G8)</f>
        <v>14</v>
      </c>
      <c r="H9" s="88">
        <f t="shared" si="4"/>
        <v>0</v>
      </c>
      <c r="I9" s="88">
        <f t="shared" si="4"/>
        <v>0</v>
      </c>
      <c r="J9" s="88">
        <f t="shared" si="4"/>
        <v>0</v>
      </c>
      <c r="K9" s="88">
        <f t="shared" si="4"/>
        <v>0</v>
      </c>
      <c r="M9" s="88" t="s">
        <v>5</v>
      </c>
      <c r="N9" s="88">
        <f>SUM(N5:N8)</f>
        <v>0</v>
      </c>
      <c r="O9" s="88">
        <f t="shared" ref="O9" si="5">SUM(O5:O8)</f>
        <v>0</v>
      </c>
      <c r="P9" s="88">
        <f t="shared" ref="P9" si="6">SUM(P5:P8)</f>
        <v>0</v>
      </c>
      <c r="Q9" s="88">
        <f t="shared" ref="Q9" si="7">SUM(Q5:Q8)</f>
        <v>0</v>
      </c>
      <c r="R9" s="88">
        <f t="shared" ref="R9" si="8">SUM(R5:R8)</f>
        <v>0</v>
      </c>
      <c r="S9" s="88">
        <f t="shared" ref="S9" si="9">SUM(S5:S8)</f>
        <v>0</v>
      </c>
    </row>
    <row r="11" spans="1:19" x14ac:dyDescent="0.35">
      <c r="B11" s="45" t="s">
        <v>155</v>
      </c>
      <c r="C11" s="8" t="s">
        <v>167</v>
      </c>
      <c r="E11" s="45" t="str">
        <f>+B11</f>
        <v>Novice U12</v>
      </c>
      <c r="F11" s="53" t="s">
        <v>125</v>
      </c>
      <c r="G11" s="53" t="s">
        <v>105</v>
      </c>
      <c r="H11" s="53" t="s">
        <v>90</v>
      </c>
      <c r="I11" s="53" t="s">
        <v>96</v>
      </c>
      <c r="J11" s="53" t="s">
        <v>101</v>
      </c>
      <c r="K11" s="64" t="s">
        <v>93</v>
      </c>
      <c r="M11" s="45" t="s">
        <v>155</v>
      </c>
      <c r="N11" s="53" t="s">
        <v>125</v>
      </c>
      <c r="O11" s="53" t="s">
        <v>105</v>
      </c>
      <c r="P11" s="53" t="s">
        <v>90</v>
      </c>
      <c r="Q11" s="53" t="s">
        <v>96</v>
      </c>
      <c r="R11" s="53" t="s">
        <v>101</v>
      </c>
      <c r="S11" s="64" t="s">
        <v>93</v>
      </c>
    </row>
    <row r="12" spans="1:19" x14ac:dyDescent="0.35">
      <c r="A12" s="50">
        <v>1</v>
      </c>
      <c r="B12" s="53" t="str">
        <f>IFERROR(VLOOKUP(A12,Novice!$A$26:$E$28,5,FALSE),0)</f>
        <v>Tuks</v>
      </c>
      <c r="C12" s="53" t="str">
        <f>IFERROR(VLOOKUP(A12,Novice!$B$26:$E$28,3,FALSE),"")</f>
        <v/>
      </c>
      <c r="E12" s="46">
        <v>14</v>
      </c>
      <c r="F12" s="53">
        <f>IF($B12=F$4,$E12,0)</f>
        <v>0</v>
      </c>
      <c r="G12" s="53">
        <f t="shared" ref="G12:K15" si="10">IF($B12=G$4,$E12,0)</f>
        <v>14</v>
      </c>
      <c r="H12" s="53">
        <f t="shared" si="10"/>
        <v>0</v>
      </c>
      <c r="I12" s="53">
        <f t="shared" si="10"/>
        <v>0</v>
      </c>
      <c r="J12" s="53">
        <f t="shared" si="10"/>
        <v>0</v>
      </c>
      <c r="K12" s="53">
        <f t="shared" si="10"/>
        <v>0</v>
      </c>
      <c r="M12" s="46">
        <v>14</v>
      </c>
      <c r="N12" s="53">
        <f>IF($C12=N$4,$M12,0)</f>
        <v>0</v>
      </c>
      <c r="O12" s="53">
        <f t="shared" ref="O12:S12" si="11">IF($C12=O$4,$M12,0)</f>
        <v>0</v>
      </c>
      <c r="P12" s="53">
        <f t="shared" si="11"/>
        <v>0</v>
      </c>
      <c r="Q12" s="53">
        <f t="shared" si="11"/>
        <v>0</v>
      </c>
      <c r="R12" s="53">
        <f t="shared" si="11"/>
        <v>0</v>
      </c>
      <c r="S12" s="53">
        <f t="shared" si="11"/>
        <v>0</v>
      </c>
    </row>
    <row r="13" spans="1:19" x14ac:dyDescent="0.35">
      <c r="A13" s="50">
        <v>2</v>
      </c>
      <c r="B13" s="53" t="str">
        <f>IFERROR(VLOOKUP(A13,Novice!$A$26:$E$28,5,FALSE),0)</f>
        <v>Tuks</v>
      </c>
      <c r="C13" s="53" t="str">
        <f>IFERROR(VLOOKUP(A13,Novice!$B$26:$E$28,3,FALSE),"")</f>
        <v/>
      </c>
      <c r="E13" s="46">
        <v>11</v>
      </c>
      <c r="F13" s="53">
        <f t="shared" ref="F13:F15" si="12">IF($B13=F$4,$E13,0)</f>
        <v>0</v>
      </c>
      <c r="G13" s="53">
        <f t="shared" si="10"/>
        <v>11</v>
      </c>
      <c r="H13" s="53">
        <f t="shared" si="10"/>
        <v>0</v>
      </c>
      <c r="I13" s="53">
        <f t="shared" si="10"/>
        <v>0</v>
      </c>
      <c r="J13" s="53">
        <f t="shared" si="10"/>
        <v>0</v>
      </c>
      <c r="K13" s="53">
        <f t="shared" si="10"/>
        <v>0</v>
      </c>
      <c r="M13" s="46">
        <v>11</v>
      </c>
      <c r="N13" s="53">
        <f t="shared" ref="N13:S15" si="13">IF($C13=N$4,$M13,0)</f>
        <v>0</v>
      </c>
      <c r="O13" s="53">
        <f t="shared" si="13"/>
        <v>0</v>
      </c>
      <c r="P13" s="53">
        <f t="shared" si="13"/>
        <v>0</v>
      </c>
      <c r="Q13" s="53">
        <f t="shared" si="13"/>
        <v>0</v>
      </c>
      <c r="R13" s="53">
        <f t="shared" si="13"/>
        <v>0</v>
      </c>
      <c r="S13" s="53">
        <f t="shared" si="13"/>
        <v>0</v>
      </c>
    </row>
    <row r="14" spans="1:19" x14ac:dyDescent="0.35">
      <c r="A14" s="50">
        <v>3</v>
      </c>
      <c r="B14" s="53" t="str">
        <f>IFERROR(VLOOKUP(A14,Novice!$A$26:$E$28,5,FALSE),0)</f>
        <v>Tuks</v>
      </c>
      <c r="C14" s="53" t="str">
        <f>IFERROR(VLOOKUP(A14,Novice!$B$26:$E$28,3,FALSE),"")</f>
        <v/>
      </c>
      <c r="E14" s="53">
        <v>9</v>
      </c>
      <c r="F14" s="53">
        <f t="shared" si="12"/>
        <v>0</v>
      </c>
      <c r="G14" s="53">
        <f t="shared" si="10"/>
        <v>9</v>
      </c>
      <c r="H14" s="53">
        <f t="shared" si="10"/>
        <v>0</v>
      </c>
      <c r="I14" s="53">
        <f t="shared" si="10"/>
        <v>0</v>
      </c>
      <c r="J14" s="53">
        <f t="shared" si="10"/>
        <v>0</v>
      </c>
      <c r="K14" s="53">
        <f t="shared" si="10"/>
        <v>0</v>
      </c>
      <c r="M14" s="53">
        <v>9</v>
      </c>
      <c r="N14" s="53">
        <f t="shared" si="13"/>
        <v>0</v>
      </c>
      <c r="O14" s="53">
        <f t="shared" si="13"/>
        <v>0</v>
      </c>
      <c r="P14" s="53">
        <f t="shared" si="13"/>
        <v>0</v>
      </c>
      <c r="Q14" s="53">
        <f t="shared" si="13"/>
        <v>0</v>
      </c>
      <c r="R14" s="53">
        <f t="shared" si="13"/>
        <v>0</v>
      </c>
      <c r="S14" s="53">
        <f t="shared" si="13"/>
        <v>0</v>
      </c>
    </row>
    <row r="15" spans="1:19" x14ac:dyDescent="0.35">
      <c r="A15" s="50">
        <v>4</v>
      </c>
      <c r="B15" s="53" t="s">
        <v>105</v>
      </c>
      <c r="C15" s="53" t="str">
        <f>IFERROR(VLOOKUP(A15,Novice!$B$26:$E$28,3,FALSE),"")</f>
        <v/>
      </c>
      <c r="E15" s="53">
        <v>7</v>
      </c>
      <c r="F15" s="53">
        <f t="shared" si="12"/>
        <v>0</v>
      </c>
      <c r="G15" s="53">
        <f t="shared" si="10"/>
        <v>7</v>
      </c>
      <c r="H15" s="53">
        <f t="shared" si="10"/>
        <v>0</v>
      </c>
      <c r="I15" s="53">
        <f t="shared" si="10"/>
        <v>0</v>
      </c>
      <c r="J15" s="53">
        <f t="shared" si="10"/>
        <v>0</v>
      </c>
      <c r="K15" s="53">
        <f t="shared" si="10"/>
        <v>0</v>
      </c>
      <c r="M15" s="53">
        <v>7</v>
      </c>
      <c r="N15" s="53">
        <f t="shared" si="13"/>
        <v>0</v>
      </c>
      <c r="O15" s="53">
        <f t="shared" si="13"/>
        <v>0</v>
      </c>
      <c r="P15" s="53">
        <f t="shared" si="13"/>
        <v>0</v>
      </c>
      <c r="Q15" s="53">
        <f t="shared" si="13"/>
        <v>0</v>
      </c>
      <c r="R15" s="53">
        <f t="shared" si="13"/>
        <v>0</v>
      </c>
      <c r="S15" s="53">
        <f t="shared" si="13"/>
        <v>0</v>
      </c>
    </row>
    <row r="16" spans="1:19" x14ac:dyDescent="0.35">
      <c r="B16" s="29"/>
      <c r="C16" s="57"/>
      <c r="E16" s="88" t="s">
        <v>5</v>
      </c>
      <c r="F16" s="88">
        <f>SUM(F12:F15)</f>
        <v>0</v>
      </c>
      <c r="G16" s="88">
        <f t="shared" ref="G16:K16" si="14">SUM(G12:G15)</f>
        <v>41</v>
      </c>
      <c r="H16" s="88">
        <f t="shared" si="14"/>
        <v>0</v>
      </c>
      <c r="I16" s="88">
        <f t="shared" si="14"/>
        <v>0</v>
      </c>
      <c r="J16" s="88">
        <f t="shared" si="14"/>
        <v>0</v>
      </c>
      <c r="K16" s="88">
        <f t="shared" si="14"/>
        <v>0</v>
      </c>
      <c r="M16" s="88" t="s">
        <v>5</v>
      </c>
      <c r="N16" s="88">
        <f>SUM(N12:N15)</f>
        <v>0</v>
      </c>
      <c r="O16" s="88">
        <f t="shared" ref="O16:R16" si="15">SUM(O12:O15)</f>
        <v>0</v>
      </c>
      <c r="P16" s="88">
        <f t="shared" si="15"/>
        <v>0</v>
      </c>
      <c r="Q16" s="88">
        <f t="shared" si="15"/>
        <v>0</v>
      </c>
      <c r="R16" s="88">
        <f t="shared" si="15"/>
        <v>0</v>
      </c>
      <c r="S16" s="88">
        <f>SUM(S12:S15)</f>
        <v>0</v>
      </c>
    </row>
    <row r="17" spans="1:19" x14ac:dyDescent="0.35">
      <c r="B17" s="29"/>
      <c r="C17" s="57"/>
    </row>
    <row r="18" spans="1:19" x14ac:dyDescent="0.35">
      <c r="B18" s="45" t="s">
        <v>170</v>
      </c>
      <c r="C18" s="8" t="s">
        <v>167</v>
      </c>
      <c r="E18" s="45" t="str">
        <f>+B18</f>
        <v>Novice 13 -1 5</v>
      </c>
      <c r="F18" s="53" t="s">
        <v>125</v>
      </c>
      <c r="G18" s="53" t="s">
        <v>105</v>
      </c>
      <c r="H18" s="53" t="s">
        <v>90</v>
      </c>
      <c r="I18" s="53" t="s">
        <v>96</v>
      </c>
      <c r="J18" s="53" t="s">
        <v>101</v>
      </c>
      <c r="K18" s="64" t="s">
        <v>93</v>
      </c>
      <c r="M18" s="45" t="str">
        <f>+B18</f>
        <v>Novice 13 -1 5</v>
      </c>
      <c r="N18" s="53" t="s">
        <v>125</v>
      </c>
      <c r="O18" s="53" t="s">
        <v>105</v>
      </c>
      <c r="P18" s="53" t="s">
        <v>90</v>
      </c>
      <c r="Q18" s="53" t="s">
        <v>96</v>
      </c>
      <c r="R18" s="53" t="s">
        <v>101</v>
      </c>
      <c r="S18" s="64" t="s">
        <v>93</v>
      </c>
    </row>
    <row r="19" spans="1:19" x14ac:dyDescent="0.35">
      <c r="A19" s="50">
        <v>1</v>
      </c>
      <c r="B19" s="53" t="str">
        <f>IFERROR(VLOOKUP(A19,Novice!$A$36:$E$37,5,FALSE),0)</f>
        <v>Tuks</v>
      </c>
      <c r="C19" s="53" t="str">
        <f>IFERROR(VLOOKUP(A19,Novice!$B$36:$E$37,3,FALSE),"")</f>
        <v/>
      </c>
      <c r="E19" s="46">
        <v>14</v>
      </c>
      <c r="F19" s="53">
        <f>IF($B19=F$4,$E19,0)</f>
        <v>0</v>
      </c>
      <c r="G19" s="53">
        <f t="shared" ref="G19:K20" si="16">IF($B19=G$4,$E19,0)</f>
        <v>14</v>
      </c>
      <c r="H19" s="53">
        <f t="shared" si="16"/>
        <v>0</v>
      </c>
      <c r="I19" s="53">
        <f t="shared" si="16"/>
        <v>0</v>
      </c>
      <c r="J19" s="53">
        <f t="shared" si="16"/>
        <v>0</v>
      </c>
      <c r="K19" s="53">
        <f t="shared" si="16"/>
        <v>0</v>
      </c>
      <c r="M19" s="46">
        <v>14</v>
      </c>
      <c r="N19" s="53">
        <f>IF($C19=N$4,$M19,0)</f>
        <v>0</v>
      </c>
      <c r="O19" s="53">
        <f t="shared" ref="O19:S19" si="17">IF($C19=O$4,$M19,0)</f>
        <v>0</v>
      </c>
      <c r="P19" s="53">
        <f t="shared" si="17"/>
        <v>0</v>
      </c>
      <c r="Q19" s="53">
        <f t="shared" si="17"/>
        <v>0</v>
      </c>
      <c r="R19" s="53">
        <f t="shared" si="17"/>
        <v>0</v>
      </c>
      <c r="S19" s="53">
        <f t="shared" si="17"/>
        <v>0</v>
      </c>
    </row>
    <row r="20" spans="1:19" x14ac:dyDescent="0.35">
      <c r="A20" s="50">
        <v>2</v>
      </c>
      <c r="B20" s="53">
        <f>IFERROR(VLOOKUP(A20,Novice!$A$36:$E$37,5,FALSE),0)</f>
        <v>0</v>
      </c>
      <c r="C20" s="53" t="str">
        <f>IFERROR(VLOOKUP(A20,Novice!$B$36:$E$37,3,FALSE),"")</f>
        <v/>
      </c>
      <c r="E20" s="46">
        <v>11</v>
      </c>
      <c r="F20" s="53">
        <f t="shared" ref="F20" si="18">IF($B20=F$4,$E20,0)</f>
        <v>0</v>
      </c>
      <c r="G20" s="53">
        <f t="shared" si="16"/>
        <v>0</v>
      </c>
      <c r="H20" s="53">
        <f t="shared" si="16"/>
        <v>0</v>
      </c>
      <c r="I20" s="53">
        <f t="shared" si="16"/>
        <v>0</v>
      </c>
      <c r="J20" s="53">
        <f t="shared" si="16"/>
        <v>0</v>
      </c>
      <c r="K20" s="53">
        <f t="shared" si="16"/>
        <v>0</v>
      </c>
      <c r="M20" s="46">
        <v>11</v>
      </c>
      <c r="N20" s="53">
        <f t="shared" ref="N20:S20" si="19">IF($C20=N$4,$M20,0)</f>
        <v>0</v>
      </c>
      <c r="O20" s="53">
        <f t="shared" si="19"/>
        <v>0</v>
      </c>
      <c r="P20" s="53">
        <f t="shared" si="19"/>
        <v>0</v>
      </c>
      <c r="Q20" s="53">
        <f t="shared" si="19"/>
        <v>0</v>
      </c>
      <c r="R20" s="53">
        <f t="shared" si="19"/>
        <v>0</v>
      </c>
      <c r="S20" s="53">
        <f t="shared" si="19"/>
        <v>0</v>
      </c>
    </row>
    <row r="21" spans="1:19" x14ac:dyDescent="0.35">
      <c r="B21" s="29"/>
      <c r="C21" s="57"/>
      <c r="E21" s="88" t="s">
        <v>5</v>
      </c>
      <c r="F21" s="88">
        <f>SUM(F19:F20)</f>
        <v>0</v>
      </c>
      <c r="G21" s="88">
        <f t="shared" ref="G21:K21" si="20">SUM(G19:G20)</f>
        <v>14</v>
      </c>
      <c r="H21" s="88">
        <f t="shared" si="20"/>
        <v>0</v>
      </c>
      <c r="I21" s="88">
        <f t="shared" si="20"/>
        <v>0</v>
      </c>
      <c r="J21" s="88">
        <f t="shared" si="20"/>
        <v>0</v>
      </c>
      <c r="K21" s="88">
        <f t="shared" si="20"/>
        <v>0</v>
      </c>
      <c r="M21" s="88" t="s">
        <v>5</v>
      </c>
      <c r="N21" s="88">
        <f>SUM(N19:N20)</f>
        <v>0</v>
      </c>
      <c r="O21" s="88">
        <f t="shared" ref="O21" si="21">SUM(O19:O20)</f>
        <v>0</v>
      </c>
      <c r="P21" s="88">
        <f t="shared" ref="P21" si="22">SUM(P19:P20)</f>
        <v>0</v>
      </c>
      <c r="Q21" s="88">
        <f t="shared" ref="Q21" si="23">SUM(Q19:Q20)</f>
        <v>0</v>
      </c>
      <c r="R21" s="88">
        <f t="shared" ref="R21" si="24">SUM(R19:R20)</f>
        <v>0</v>
      </c>
      <c r="S21" s="88">
        <f t="shared" ref="S21" si="25">SUM(S19:S20)</f>
        <v>0</v>
      </c>
    </row>
    <row r="22" spans="1:19" x14ac:dyDescent="0.35">
      <c r="B22" s="29"/>
      <c r="C22" s="57"/>
    </row>
    <row r="23" spans="1:19" x14ac:dyDescent="0.35">
      <c r="B23" s="4" t="s">
        <v>67</v>
      </c>
      <c r="C23" s="4" t="s">
        <v>166</v>
      </c>
      <c r="E23" s="4" t="s">
        <v>168</v>
      </c>
      <c r="M23" s="4" t="s">
        <v>169</v>
      </c>
    </row>
    <row r="25" spans="1:19" x14ac:dyDescent="0.35">
      <c r="B25" s="45" t="s">
        <v>135</v>
      </c>
      <c r="C25" s="8" t="s">
        <v>167</v>
      </c>
      <c r="E25" s="45" t="str">
        <f>+B25</f>
        <v>U10</v>
      </c>
      <c r="F25" s="53" t="s">
        <v>125</v>
      </c>
      <c r="G25" s="53" t="s">
        <v>105</v>
      </c>
      <c r="H25" s="53" t="s">
        <v>90</v>
      </c>
      <c r="I25" s="53" t="s">
        <v>96</v>
      </c>
      <c r="J25" s="53" t="s">
        <v>101</v>
      </c>
      <c r="K25" s="64" t="s">
        <v>93</v>
      </c>
      <c r="M25" s="45" t="str">
        <f>+E25</f>
        <v>U10</v>
      </c>
      <c r="N25" s="53" t="s">
        <v>125</v>
      </c>
      <c r="O25" s="53" t="s">
        <v>105</v>
      </c>
      <c r="P25" s="53" t="s">
        <v>90</v>
      </c>
      <c r="Q25" s="53" t="s">
        <v>96</v>
      </c>
      <c r="R25" s="53" t="s">
        <v>101</v>
      </c>
      <c r="S25" s="64" t="s">
        <v>93</v>
      </c>
    </row>
    <row r="26" spans="1:19" x14ac:dyDescent="0.35">
      <c r="A26" s="50">
        <v>1</v>
      </c>
      <c r="B26" s="53" t="str">
        <f>IFERROR(VLOOKUP(A26,'U10 U12'!$A$15:$E$16,5,FALSE),0)</f>
        <v>Cygnus</v>
      </c>
      <c r="C26" s="53" t="str">
        <f>IFERROR(VLOOKUP(A26,'U10 U12'!$B$15:$E$16,4,FALSE),"")</f>
        <v>Cygnus</v>
      </c>
      <c r="E26" s="46">
        <v>14</v>
      </c>
      <c r="F26" s="53">
        <f>IF($B26=F$4,$E26,0)</f>
        <v>0</v>
      </c>
      <c r="G26" s="53">
        <f t="shared" ref="G26:K27" si="26">IF($B26=G$4,$E26,0)</f>
        <v>0</v>
      </c>
      <c r="H26" s="53">
        <f t="shared" si="26"/>
        <v>14</v>
      </c>
      <c r="I26" s="53">
        <f t="shared" si="26"/>
        <v>0</v>
      </c>
      <c r="J26" s="53">
        <f t="shared" si="26"/>
        <v>0</v>
      </c>
      <c r="K26" s="53">
        <f t="shared" si="26"/>
        <v>0</v>
      </c>
      <c r="M26" s="46">
        <v>14</v>
      </c>
      <c r="N26" s="53">
        <f>IF($C26=N$4,$E26,0)</f>
        <v>0</v>
      </c>
      <c r="O26" s="53">
        <f t="shared" ref="O26:S27" si="27">IF($C26=O$4,$E26,0)</f>
        <v>0</v>
      </c>
      <c r="P26" s="53">
        <f t="shared" si="27"/>
        <v>14</v>
      </c>
      <c r="Q26" s="53">
        <f t="shared" si="27"/>
        <v>0</v>
      </c>
      <c r="R26" s="53">
        <f t="shared" si="27"/>
        <v>0</v>
      </c>
      <c r="S26" s="53">
        <f t="shared" si="27"/>
        <v>0</v>
      </c>
    </row>
    <row r="27" spans="1:19" x14ac:dyDescent="0.35">
      <c r="A27" s="50">
        <v>2</v>
      </c>
      <c r="B27" s="53" t="str">
        <f>IFERROR(VLOOKUP(A27,'U10 U12'!$A$15:$E$16,5,FALSE),0)</f>
        <v>DGC</v>
      </c>
      <c r="C27" s="53" t="str">
        <f>IFERROR(VLOOKUP(A27,'U10 U12'!$B$15:$E$16,4,FALSE),"")</f>
        <v>DGC</v>
      </c>
      <c r="E27" s="46">
        <v>11</v>
      </c>
      <c r="F27" s="53">
        <f t="shared" ref="F27" si="28">IF($B27=F$4,$E27,0)</f>
        <v>0</v>
      </c>
      <c r="G27" s="53">
        <f t="shared" si="26"/>
        <v>0</v>
      </c>
      <c r="H27" s="53">
        <f t="shared" si="26"/>
        <v>0</v>
      </c>
      <c r="I27" s="53">
        <f t="shared" si="26"/>
        <v>0</v>
      </c>
      <c r="J27" s="53">
        <f t="shared" si="26"/>
        <v>0</v>
      </c>
      <c r="K27" s="53">
        <f t="shared" si="26"/>
        <v>11</v>
      </c>
      <c r="M27" s="46">
        <v>11</v>
      </c>
      <c r="N27" s="53">
        <f>IF($C27=N$4,$E27,0)</f>
        <v>0</v>
      </c>
      <c r="O27" s="53">
        <f t="shared" si="27"/>
        <v>0</v>
      </c>
      <c r="P27" s="53">
        <f t="shared" si="27"/>
        <v>0</v>
      </c>
      <c r="Q27" s="53">
        <f t="shared" si="27"/>
        <v>0</v>
      </c>
      <c r="R27" s="53">
        <f t="shared" si="27"/>
        <v>0</v>
      </c>
      <c r="S27" s="53">
        <f t="shared" si="27"/>
        <v>11</v>
      </c>
    </row>
    <row r="28" spans="1:19" x14ac:dyDescent="0.35">
      <c r="B28" s="57"/>
      <c r="C28" s="57"/>
      <c r="E28" s="88" t="s">
        <v>5</v>
      </c>
      <c r="F28" s="88">
        <f>SUM(F26:F27)</f>
        <v>0</v>
      </c>
      <c r="G28" s="88">
        <f t="shared" ref="G28:K28" si="29">SUM(G26:G27)</f>
        <v>0</v>
      </c>
      <c r="H28" s="88">
        <f t="shared" si="29"/>
        <v>14</v>
      </c>
      <c r="I28" s="88">
        <f t="shared" si="29"/>
        <v>0</v>
      </c>
      <c r="J28" s="88">
        <f t="shared" si="29"/>
        <v>0</v>
      </c>
      <c r="K28" s="88">
        <f t="shared" si="29"/>
        <v>11</v>
      </c>
      <c r="M28" s="88" t="s">
        <v>5</v>
      </c>
      <c r="N28" s="88">
        <f>SUM(N26:N27)</f>
        <v>0</v>
      </c>
      <c r="O28" s="88">
        <f t="shared" ref="O28" si="30">SUM(O26:O27)</f>
        <v>0</v>
      </c>
      <c r="P28" s="88">
        <f t="shared" ref="P28" si="31">SUM(P26:P27)</f>
        <v>14</v>
      </c>
      <c r="Q28" s="88">
        <f t="shared" ref="Q28" si="32">SUM(Q26:Q27)</f>
        <v>0</v>
      </c>
      <c r="R28" s="88">
        <f t="shared" ref="R28" si="33">SUM(R26:R27)</f>
        <v>0</v>
      </c>
      <c r="S28" s="88">
        <f t="shared" ref="S28" si="34">SUM(S26:S27)</f>
        <v>11</v>
      </c>
    </row>
    <row r="30" spans="1:19" x14ac:dyDescent="0.35">
      <c r="B30" s="45" t="s">
        <v>141</v>
      </c>
      <c r="C30" s="8" t="s">
        <v>167</v>
      </c>
      <c r="E30" s="45" t="str">
        <f>+B30</f>
        <v>U12</v>
      </c>
      <c r="F30" s="53" t="s">
        <v>125</v>
      </c>
      <c r="G30" s="53" t="s">
        <v>105</v>
      </c>
      <c r="H30" s="53" t="s">
        <v>90</v>
      </c>
      <c r="I30" s="53" t="s">
        <v>96</v>
      </c>
      <c r="J30" s="53" t="s">
        <v>101</v>
      </c>
      <c r="K30" s="64" t="s">
        <v>93</v>
      </c>
      <c r="M30" s="45" t="str">
        <f>+E30</f>
        <v>U12</v>
      </c>
      <c r="N30" s="53" t="s">
        <v>125</v>
      </c>
      <c r="O30" s="53" t="s">
        <v>105</v>
      </c>
      <c r="P30" s="53" t="s">
        <v>90</v>
      </c>
      <c r="Q30" s="53" t="s">
        <v>96</v>
      </c>
      <c r="R30" s="53" t="s">
        <v>101</v>
      </c>
      <c r="S30" s="64" t="s">
        <v>93</v>
      </c>
    </row>
    <row r="31" spans="1:19" x14ac:dyDescent="0.35">
      <c r="A31" s="50">
        <v>1</v>
      </c>
      <c r="B31" s="53" t="str">
        <f>IFERROR(VLOOKUP(A31,'U10 U12'!$A$24:$E$31,5,FALSE),0)</f>
        <v>Tuks</v>
      </c>
      <c r="C31" s="53" t="str">
        <f>IFERROR(VLOOKUP(A31,'U10 U12'!$B$24:$E$31,4,FALSE),"")</f>
        <v>Tuks</v>
      </c>
      <c r="E31" s="46">
        <v>14</v>
      </c>
      <c r="F31" s="53">
        <f>IF($B31=F$4,$E31,0)</f>
        <v>0</v>
      </c>
      <c r="G31" s="53">
        <f t="shared" ref="G31:K31" si="35">IF($B31=G$4,$E31,0)</f>
        <v>14</v>
      </c>
      <c r="H31" s="53">
        <f t="shared" si="35"/>
        <v>0</v>
      </c>
      <c r="I31" s="53">
        <f t="shared" si="35"/>
        <v>0</v>
      </c>
      <c r="J31" s="53">
        <f t="shared" si="35"/>
        <v>0</v>
      </c>
      <c r="K31" s="53">
        <f t="shared" si="35"/>
        <v>0</v>
      </c>
      <c r="M31" s="46">
        <v>14</v>
      </c>
      <c r="N31" s="53">
        <f>IF($C31=N$4,$E31,0)</f>
        <v>0</v>
      </c>
      <c r="O31" s="53">
        <f t="shared" ref="O31:S38" si="36">IF($C31=O$4,$E31,0)</f>
        <v>14</v>
      </c>
      <c r="P31" s="53">
        <f t="shared" si="36"/>
        <v>0</v>
      </c>
      <c r="Q31" s="53">
        <f t="shared" si="36"/>
        <v>0</v>
      </c>
      <c r="R31" s="53">
        <f t="shared" si="36"/>
        <v>0</v>
      </c>
      <c r="S31" s="53">
        <f t="shared" si="36"/>
        <v>0</v>
      </c>
    </row>
    <row r="32" spans="1:19" x14ac:dyDescent="0.35">
      <c r="A32" s="50">
        <v>2</v>
      </c>
      <c r="B32" s="53" t="str">
        <f>IFERROR(VLOOKUP(A32,'U10 U12'!$A$24:$E$31,5,FALSE),0)</f>
        <v>DGC</v>
      </c>
      <c r="C32" s="53" t="str">
        <f>IFERROR(VLOOKUP(A32,'U10 U12'!$B$24:$E$31,4,FALSE),"")</f>
        <v>DGC</v>
      </c>
      <c r="E32" s="46">
        <v>11</v>
      </c>
      <c r="F32" s="53">
        <f t="shared" ref="F32:K38" si="37">IF($B32=F$4,$E32,0)</f>
        <v>0</v>
      </c>
      <c r="G32" s="53">
        <f t="shared" si="37"/>
        <v>0</v>
      </c>
      <c r="H32" s="53">
        <f t="shared" si="37"/>
        <v>0</v>
      </c>
      <c r="I32" s="53">
        <f t="shared" si="37"/>
        <v>0</v>
      </c>
      <c r="J32" s="53">
        <f t="shared" si="37"/>
        <v>0</v>
      </c>
      <c r="K32" s="53">
        <f t="shared" si="37"/>
        <v>11</v>
      </c>
      <c r="M32" s="46">
        <v>11</v>
      </c>
      <c r="N32" s="53">
        <f t="shared" ref="N32:N38" si="38">IF($C32=N$4,$E32,0)</f>
        <v>0</v>
      </c>
      <c r="O32" s="53">
        <f t="shared" si="36"/>
        <v>0</v>
      </c>
      <c r="P32" s="53">
        <f t="shared" si="36"/>
        <v>0</v>
      </c>
      <c r="Q32" s="53">
        <f t="shared" si="36"/>
        <v>0</v>
      </c>
      <c r="R32" s="53">
        <f t="shared" si="36"/>
        <v>0</v>
      </c>
      <c r="S32" s="53">
        <f t="shared" si="36"/>
        <v>11</v>
      </c>
    </row>
    <row r="33" spans="1:19" x14ac:dyDescent="0.35">
      <c r="A33" s="50">
        <v>3</v>
      </c>
      <c r="B33" s="53" t="str">
        <f>IFERROR(VLOOKUP(A33,'U10 U12'!$A$24:$E$31,5,FALSE),0)</f>
        <v>Synchronacity</v>
      </c>
      <c r="C33" s="53" t="str">
        <f>IFERROR(VLOOKUP(A33,'U10 U12'!$B$24:$E$31,4,FALSE),"")</f>
        <v>Synchronacity</v>
      </c>
      <c r="E33" s="53">
        <v>9</v>
      </c>
      <c r="F33" s="53">
        <f t="shared" si="37"/>
        <v>0</v>
      </c>
      <c r="G33" s="53">
        <f t="shared" si="37"/>
        <v>0</v>
      </c>
      <c r="H33" s="53">
        <f t="shared" si="37"/>
        <v>0</v>
      </c>
      <c r="I33" s="53">
        <f t="shared" si="37"/>
        <v>0</v>
      </c>
      <c r="J33" s="53">
        <f t="shared" si="37"/>
        <v>9</v>
      </c>
      <c r="K33" s="53">
        <f t="shared" si="37"/>
        <v>0</v>
      </c>
      <c r="M33" s="53">
        <v>9</v>
      </c>
      <c r="N33" s="53">
        <f t="shared" si="38"/>
        <v>0</v>
      </c>
      <c r="O33" s="53">
        <f t="shared" si="36"/>
        <v>0</v>
      </c>
      <c r="P33" s="53">
        <f t="shared" si="36"/>
        <v>0</v>
      </c>
      <c r="Q33" s="53">
        <f t="shared" si="36"/>
        <v>0</v>
      </c>
      <c r="R33" s="53">
        <f t="shared" si="36"/>
        <v>9</v>
      </c>
      <c r="S33" s="53">
        <f t="shared" si="36"/>
        <v>0</v>
      </c>
    </row>
    <row r="34" spans="1:19" x14ac:dyDescent="0.35">
      <c r="A34" s="50">
        <v>4</v>
      </c>
      <c r="B34" s="53" t="str">
        <f>IFERROR(VLOOKUP(A34,'U10 U12'!$A$24:$E$31,5,FALSE),0)</f>
        <v>Umlazi Sharks</v>
      </c>
      <c r="C34" s="53" t="str">
        <f>IFERROR(VLOOKUP(A34,'U10 U12'!$B$24:$E$31,4,FALSE),"")</f>
        <v>Synchronacity</v>
      </c>
      <c r="E34" s="53">
        <v>7</v>
      </c>
      <c r="F34" s="53">
        <f t="shared" si="37"/>
        <v>0</v>
      </c>
      <c r="G34" s="53">
        <f t="shared" si="37"/>
        <v>0</v>
      </c>
      <c r="H34" s="53">
        <f t="shared" si="37"/>
        <v>0</v>
      </c>
      <c r="I34" s="53">
        <f t="shared" si="37"/>
        <v>7</v>
      </c>
      <c r="J34" s="53">
        <f t="shared" si="37"/>
        <v>0</v>
      </c>
      <c r="K34" s="53">
        <f t="shared" si="37"/>
        <v>0</v>
      </c>
      <c r="M34" s="53">
        <v>7</v>
      </c>
      <c r="N34" s="53">
        <f t="shared" si="38"/>
        <v>0</v>
      </c>
      <c r="O34" s="53">
        <f t="shared" si="36"/>
        <v>0</v>
      </c>
      <c r="P34" s="53">
        <f t="shared" si="36"/>
        <v>0</v>
      </c>
      <c r="Q34" s="53">
        <f t="shared" si="36"/>
        <v>0</v>
      </c>
      <c r="R34" s="53">
        <f t="shared" si="36"/>
        <v>7</v>
      </c>
      <c r="S34" s="53">
        <f t="shared" si="36"/>
        <v>0</v>
      </c>
    </row>
    <row r="35" spans="1:19" x14ac:dyDescent="0.35">
      <c r="A35" s="50">
        <v>5</v>
      </c>
      <c r="B35" s="53" t="str">
        <f>IFERROR(VLOOKUP(A35,'U10 U12'!$A$24:$E$31,5,FALSE),0)</f>
        <v>Synchronacity</v>
      </c>
      <c r="C35" s="53" t="str">
        <f>IFERROR(VLOOKUP(A35,'U10 U12'!$B$24:$E$31,4,FALSE),"")</f>
        <v>Umlazi Sharks</v>
      </c>
      <c r="E35" s="53">
        <v>6</v>
      </c>
      <c r="F35" s="53">
        <f t="shared" si="37"/>
        <v>0</v>
      </c>
      <c r="G35" s="53">
        <f t="shared" si="37"/>
        <v>0</v>
      </c>
      <c r="H35" s="53">
        <f t="shared" si="37"/>
        <v>0</v>
      </c>
      <c r="I35" s="53">
        <f t="shared" si="37"/>
        <v>0</v>
      </c>
      <c r="J35" s="53">
        <f t="shared" si="37"/>
        <v>6</v>
      </c>
      <c r="K35" s="53">
        <f t="shared" si="37"/>
        <v>0</v>
      </c>
      <c r="M35" s="53">
        <v>6</v>
      </c>
      <c r="N35" s="53">
        <f t="shared" si="38"/>
        <v>0</v>
      </c>
      <c r="O35" s="53">
        <f t="shared" si="36"/>
        <v>0</v>
      </c>
      <c r="P35" s="53">
        <f t="shared" si="36"/>
        <v>0</v>
      </c>
      <c r="Q35" s="53">
        <f t="shared" si="36"/>
        <v>6</v>
      </c>
      <c r="R35" s="53">
        <f t="shared" si="36"/>
        <v>0</v>
      </c>
      <c r="S35" s="53">
        <f t="shared" si="36"/>
        <v>0</v>
      </c>
    </row>
    <row r="36" spans="1:19" x14ac:dyDescent="0.35">
      <c r="A36" s="50">
        <v>6</v>
      </c>
      <c r="B36" s="53" t="str">
        <f>IFERROR(VLOOKUP(A36,'U10 U12'!$A$24:$E$31,5,FALSE),0)</f>
        <v>Synchronacity</v>
      </c>
      <c r="C36" s="53" t="str">
        <f>IFERROR(VLOOKUP(A36,'U10 U12'!$B$24:$E$31,4,FALSE),"")</f>
        <v>DGC</v>
      </c>
      <c r="E36" s="53">
        <v>5</v>
      </c>
      <c r="F36" s="53">
        <f t="shared" si="37"/>
        <v>0</v>
      </c>
      <c r="G36" s="53">
        <f t="shared" si="37"/>
        <v>0</v>
      </c>
      <c r="H36" s="53">
        <f t="shared" si="37"/>
        <v>0</v>
      </c>
      <c r="I36" s="53">
        <f t="shared" si="37"/>
        <v>0</v>
      </c>
      <c r="J36" s="53">
        <f t="shared" si="37"/>
        <v>5</v>
      </c>
      <c r="K36" s="53">
        <f t="shared" si="37"/>
        <v>0</v>
      </c>
      <c r="M36" s="53">
        <v>5</v>
      </c>
      <c r="N36" s="53">
        <f t="shared" si="38"/>
        <v>0</v>
      </c>
      <c r="O36" s="53">
        <f t="shared" si="36"/>
        <v>0</v>
      </c>
      <c r="P36" s="53">
        <f t="shared" si="36"/>
        <v>0</v>
      </c>
      <c r="Q36" s="53">
        <f t="shared" si="36"/>
        <v>0</v>
      </c>
      <c r="R36" s="53">
        <f t="shared" si="36"/>
        <v>0</v>
      </c>
      <c r="S36" s="53">
        <f t="shared" si="36"/>
        <v>5</v>
      </c>
    </row>
    <row r="37" spans="1:19" x14ac:dyDescent="0.35">
      <c r="A37" s="50">
        <v>7</v>
      </c>
      <c r="B37" s="53" t="str">
        <f>IFERROR(VLOOKUP(A37,'U10 U12'!$A$24:$E$31,5,FALSE),0)</f>
        <v>Umlazi Sharks</v>
      </c>
      <c r="C37" s="53" t="str">
        <f>IFERROR(VLOOKUP(A37,'U10 U12'!$B$24:$E$31,4,FALSE),"")</f>
        <v>Synchronacity</v>
      </c>
      <c r="E37" s="53">
        <v>4</v>
      </c>
      <c r="F37" s="53">
        <f t="shared" si="37"/>
        <v>0</v>
      </c>
      <c r="G37" s="53">
        <f t="shared" si="37"/>
        <v>0</v>
      </c>
      <c r="H37" s="53">
        <f t="shared" si="37"/>
        <v>0</v>
      </c>
      <c r="I37" s="53">
        <f t="shared" si="37"/>
        <v>4</v>
      </c>
      <c r="J37" s="53">
        <f t="shared" si="37"/>
        <v>0</v>
      </c>
      <c r="K37" s="53">
        <f t="shared" si="37"/>
        <v>0</v>
      </c>
      <c r="M37" s="53">
        <v>4</v>
      </c>
      <c r="N37" s="53">
        <f t="shared" si="38"/>
        <v>0</v>
      </c>
      <c r="O37" s="53">
        <f t="shared" si="36"/>
        <v>0</v>
      </c>
      <c r="P37" s="53">
        <f t="shared" si="36"/>
        <v>0</v>
      </c>
      <c r="Q37" s="53">
        <f t="shared" si="36"/>
        <v>0</v>
      </c>
      <c r="R37" s="53">
        <f t="shared" si="36"/>
        <v>4</v>
      </c>
      <c r="S37" s="53">
        <f t="shared" si="36"/>
        <v>0</v>
      </c>
    </row>
    <row r="38" spans="1:19" x14ac:dyDescent="0.35">
      <c r="A38" s="50">
        <v>8</v>
      </c>
      <c r="B38" s="53">
        <f>IFERROR(VLOOKUP(A38,'U10 U12'!$A$24:$E$31,5,FALSE),0)</f>
        <v>0</v>
      </c>
      <c r="C38" s="53" t="str">
        <f>IFERROR(VLOOKUP(A38,'U10 U12'!$B$24:$E$31,4,FALSE),"")</f>
        <v>Umlazi Sharks</v>
      </c>
      <c r="E38" s="53">
        <v>3</v>
      </c>
      <c r="F38" s="53">
        <f t="shared" si="37"/>
        <v>0</v>
      </c>
      <c r="G38" s="53">
        <f t="shared" si="37"/>
        <v>0</v>
      </c>
      <c r="H38" s="53">
        <f t="shared" si="37"/>
        <v>0</v>
      </c>
      <c r="I38" s="53">
        <f t="shared" si="37"/>
        <v>0</v>
      </c>
      <c r="J38" s="53">
        <f t="shared" si="37"/>
        <v>0</v>
      </c>
      <c r="K38" s="53">
        <f t="shared" si="37"/>
        <v>0</v>
      </c>
      <c r="M38" s="53">
        <v>3</v>
      </c>
      <c r="N38" s="53">
        <f t="shared" si="38"/>
        <v>0</v>
      </c>
      <c r="O38" s="53">
        <f t="shared" si="36"/>
        <v>0</v>
      </c>
      <c r="P38" s="53">
        <f t="shared" si="36"/>
        <v>0</v>
      </c>
      <c r="Q38" s="53">
        <f t="shared" si="36"/>
        <v>3</v>
      </c>
      <c r="R38" s="53">
        <f t="shared" si="36"/>
        <v>0</v>
      </c>
      <c r="S38" s="53">
        <f t="shared" si="36"/>
        <v>0</v>
      </c>
    </row>
    <row r="39" spans="1:19" x14ac:dyDescent="0.35">
      <c r="B39" s="29"/>
      <c r="C39" s="57"/>
      <c r="E39" s="88" t="s">
        <v>5</v>
      </c>
      <c r="F39" s="88">
        <f>SUM(F31:F38)</f>
        <v>0</v>
      </c>
      <c r="G39" s="88">
        <f t="shared" ref="G39:K39" si="39">SUM(G31:G38)</f>
        <v>14</v>
      </c>
      <c r="H39" s="88">
        <f t="shared" si="39"/>
        <v>0</v>
      </c>
      <c r="I39" s="88">
        <f t="shared" si="39"/>
        <v>11</v>
      </c>
      <c r="J39" s="88">
        <f t="shared" si="39"/>
        <v>20</v>
      </c>
      <c r="K39" s="88">
        <f t="shared" si="39"/>
        <v>11</v>
      </c>
      <c r="M39" s="88" t="s">
        <v>5</v>
      </c>
      <c r="N39" s="88">
        <f>SUM(N31:N38)</f>
        <v>0</v>
      </c>
      <c r="O39" s="88">
        <f t="shared" ref="O39:S39" si="40">SUM(O31:O38)</f>
        <v>14</v>
      </c>
      <c r="P39" s="88">
        <f t="shared" si="40"/>
        <v>0</v>
      </c>
      <c r="Q39" s="88">
        <f t="shared" si="40"/>
        <v>9</v>
      </c>
      <c r="R39" s="88">
        <f t="shared" si="40"/>
        <v>20</v>
      </c>
      <c r="S39" s="88">
        <f t="shared" si="40"/>
        <v>16</v>
      </c>
    </row>
    <row r="40" spans="1:19" x14ac:dyDescent="0.35">
      <c r="B40" s="29"/>
      <c r="C40" s="57"/>
    </row>
    <row r="41" spans="1:19" x14ac:dyDescent="0.35">
      <c r="B41" s="45" t="s">
        <v>108</v>
      </c>
      <c r="C41" s="8" t="s">
        <v>167</v>
      </c>
      <c r="E41" s="45" t="str">
        <f>+B41</f>
        <v>13 - 15</v>
      </c>
      <c r="F41" s="53" t="s">
        <v>125</v>
      </c>
      <c r="G41" s="53" t="s">
        <v>105</v>
      </c>
      <c r="H41" s="53" t="s">
        <v>90</v>
      </c>
      <c r="I41" s="53" t="s">
        <v>96</v>
      </c>
      <c r="J41" s="53" t="s">
        <v>101</v>
      </c>
      <c r="K41" s="64" t="s">
        <v>93</v>
      </c>
      <c r="M41" s="45" t="str">
        <f>+E41</f>
        <v>13 - 15</v>
      </c>
      <c r="N41" s="53" t="s">
        <v>125</v>
      </c>
      <c r="O41" s="53" t="s">
        <v>105</v>
      </c>
      <c r="P41" s="53" t="s">
        <v>90</v>
      </c>
      <c r="Q41" s="53" t="s">
        <v>96</v>
      </c>
      <c r="R41" s="53" t="s">
        <v>101</v>
      </c>
      <c r="S41" s="64" t="s">
        <v>93</v>
      </c>
    </row>
    <row r="42" spans="1:19" x14ac:dyDescent="0.35">
      <c r="A42" s="50">
        <v>1</v>
      </c>
      <c r="B42" s="53" t="str">
        <f>IFERROR(VLOOKUP(A42,'13 - 15'!$A$14:$E$24,5,FALSE),0)</f>
        <v>DGC</v>
      </c>
      <c r="C42" s="53" t="str">
        <f>IFERROR(VLOOKUP(A42,'13 - 15'!$B$14:$E$24,4,FALSE),0)</f>
        <v>DGC</v>
      </c>
      <c r="E42" s="46">
        <v>14</v>
      </c>
      <c r="F42" s="53">
        <f>IF($B42=F$4,$E42,0)</f>
        <v>0</v>
      </c>
      <c r="G42" s="53">
        <f t="shared" ref="G42:K42" si="41">IF($B42=G$4,$E42,0)</f>
        <v>0</v>
      </c>
      <c r="H42" s="53">
        <f t="shared" si="41"/>
        <v>0</v>
      </c>
      <c r="I42" s="53">
        <f t="shared" si="41"/>
        <v>0</v>
      </c>
      <c r="J42" s="53">
        <f t="shared" si="41"/>
        <v>0</v>
      </c>
      <c r="K42" s="53">
        <f t="shared" si="41"/>
        <v>14</v>
      </c>
      <c r="M42" s="46">
        <v>14</v>
      </c>
      <c r="N42" s="53">
        <f>IF($C42=N$4,$E42,0)</f>
        <v>0</v>
      </c>
      <c r="O42" s="53">
        <f t="shared" ref="O42:S42" si="42">IF($C42=O$4,$E42,0)</f>
        <v>0</v>
      </c>
      <c r="P42" s="53">
        <f t="shared" si="42"/>
        <v>0</v>
      </c>
      <c r="Q42" s="53">
        <f t="shared" si="42"/>
        <v>0</v>
      </c>
      <c r="R42" s="53">
        <f t="shared" si="42"/>
        <v>0</v>
      </c>
      <c r="S42" s="53">
        <f t="shared" si="42"/>
        <v>14</v>
      </c>
    </row>
    <row r="43" spans="1:19" x14ac:dyDescent="0.35">
      <c r="A43" s="50">
        <v>2</v>
      </c>
      <c r="B43" s="53" t="str">
        <f>IFERROR(VLOOKUP(A43,'13 - 15'!$A$14:$E$24,5,FALSE),0)</f>
        <v>DGC</v>
      </c>
      <c r="C43" s="53" t="str">
        <f>IFERROR(VLOOKUP(A43,'13 - 15'!$B$14:$E$24,4,FALSE),0)</f>
        <v>Synchronacity</v>
      </c>
      <c r="E43" s="46">
        <v>11</v>
      </c>
      <c r="F43" s="53">
        <f t="shared" ref="F43:K50" si="43">IF($B43=F$4,$E43,0)</f>
        <v>0</v>
      </c>
      <c r="G43" s="53">
        <f t="shared" si="43"/>
        <v>0</v>
      </c>
      <c r="H43" s="53">
        <f t="shared" si="43"/>
        <v>0</v>
      </c>
      <c r="I43" s="53">
        <f t="shared" si="43"/>
        <v>0</v>
      </c>
      <c r="J43" s="53">
        <f t="shared" si="43"/>
        <v>0</v>
      </c>
      <c r="K43" s="53">
        <f t="shared" si="43"/>
        <v>11</v>
      </c>
      <c r="M43" s="46">
        <v>11</v>
      </c>
      <c r="N43" s="53">
        <f t="shared" ref="N43:S50" si="44">IF($C43=N$4,$E43,0)</f>
        <v>0</v>
      </c>
      <c r="O43" s="53">
        <f t="shared" si="44"/>
        <v>0</v>
      </c>
      <c r="P43" s="53">
        <f t="shared" si="44"/>
        <v>0</v>
      </c>
      <c r="Q43" s="53">
        <f t="shared" si="44"/>
        <v>0</v>
      </c>
      <c r="R43" s="53">
        <f t="shared" si="44"/>
        <v>11</v>
      </c>
      <c r="S43" s="53">
        <f t="shared" si="44"/>
        <v>0</v>
      </c>
    </row>
    <row r="44" spans="1:19" x14ac:dyDescent="0.35">
      <c r="A44" s="50">
        <v>3</v>
      </c>
      <c r="B44" s="53" t="str">
        <f>IFERROR(VLOOKUP(A44,'13 - 15'!$A$14:$E$24,5,FALSE),0)</f>
        <v>DGC</v>
      </c>
      <c r="C44" s="53" t="str">
        <f>IFERROR(VLOOKUP(A44,'13 - 15'!$B$14:$E$24,4,FALSE),0)</f>
        <v>DGC</v>
      </c>
      <c r="E44" s="53">
        <v>9</v>
      </c>
      <c r="F44" s="53">
        <f t="shared" si="43"/>
        <v>0</v>
      </c>
      <c r="G44" s="53">
        <f t="shared" si="43"/>
        <v>0</v>
      </c>
      <c r="H44" s="53">
        <f t="shared" si="43"/>
        <v>0</v>
      </c>
      <c r="I44" s="53">
        <f t="shared" si="43"/>
        <v>0</v>
      </c>
      <c r="J44" s="53">
        <f t="shared" si="43"/>
        <v>0</v>
      </c>
      <c r="K44" s="53">
        <f t="shared" si="43"/>
        <v>9</v>
      </c>
      <c r="M44" s="53">
        <v>9</v>
      </c>
      <c r="N44" s="53">
        <f t="shared" si="44"/>
        <v>0</v>
      </c>
      <c r="O44" s="53">
        <f t="shared" si="44"/>
        <v>0</v>
      </c>
      <c r="P44" s="53">
        <f t="shared" si="44"/>
        <v>0</v>
      </c>
      <c r="Q44" s="53">
        <f t="shared" si="44"/>
        <v>0</v>
      </c>
      <c r="R44" s="53">
        <f t="shared" si="44"/>
        <v>0</v>
      </c>
      <c r="S44" s="53">
        <f t="shared" si="44"/>
        <v>9</v>
      </c>
    </row>
    <row r="45" spans="1:19" x14ac:dyDescent="0.35">
      <c r="A45" s="50">
        <v>4</v>
      </c>
      <c r="B45" s="53" t="str">
        <f>IFERROR(VLOOKUP(A45,'13 - 15'!$A$14:$E$24,5,FALSE),0)</f>
        <v>DGC</v>
      </c>
      <c r="C45" s="53" t="str">
        <f>IFERROR(VLOOKUP(A45,'13 - 15'!$B$14:$E$24,4,FALSE),0)</f>
        <v>Synchronacity</v>
      </c>
      <c r="E45" s="53">
        <v>7</v>
      </c>
      <c r="F45" s="53">
        <f t="shared" si="43"/>
        <v>0</v>
      </c>
      <c r="G45" s="53">
        <f t="shared" si="43"/>
        <v>0</v>
      </c>
      <c r="H45" s="53">
        <f t="shared" si="43"/>
        <v>0</v>
      </c>
      <c r="I45" s="53">
        <f t="shared" si="43"/>
        <v>0</v>
      </c>
      <c r="J45" s="53">
        <f t="shared" si="43"/>
        <v>0</v>
      </c>
      <c r="K45" s="53">
        <f t="shared" si="43"/>
        <v>7</v>
      </c>
      <c r="M45" s="53">
        <v>7</v>
      </c>
      <c r="N45" s="53">
        <f t="shared" si="44"/>
        <v>0</v>
      </c>
      <c r="O45" s="53">
        <f t="shared" si="44"/>
        <v>0</v>
      </c>
      <c r="P45" s="53">
        <f t="shared" si="44"/>
        <v>0</v>
      </c>
      <c r="Q45" s="53">
        <f t="shared" si="44"/>
        <v>0</v>
      </c>
      <c r="R45" s="53">
        <f t="shared" si="44"/>
        <v>7</v>
      </c>
      <c r="S45" s="53">
        <f t="shared" si="44"/>
        <v>0</v>
      </c>
    </row>
    <row r="46" spans="1:19" x14ac:dyDescent="0.35">
      <c r="A46" s="50">
        <v>5</v>
      </c>
      <c r="B46" s="53" t="str">
        <f>IFERROR(VLOOKUP(A46,'13 - 15'!$A$14:$E$24,5,FALSE),0)</f>
        <v>Umlazi Sharks</v>
      </c>
      <c r="C46" s="53" t="str">
        <f>IFERROR(VLOOKUP(A46,'13 - 15'!$B$14:$E$24,4,FALSE),0)</f>
        <v>Umlazi Sharks</v>
      </c>
      <c r="E46" s="53">
        <v>6</v>
      </c>
      <c r="F46" s="53">
        <f t="shared" si="43"/>
        <v>0</v>
      </c>
      <c r="G46" s="53">
        <f t="shared" si="43"/>
        <v>0</v>
      </c>
      <c r="H46" s="53">
        <f t="shared" si="43"/>
        <v>0</v>
      </c>
      <c r="I46" s="53">
        <f t="shared" si="43"/>
        <v>6</v>
      </c>
      <c r="J46" s="53">
        <f t="shared" si="43"/>
        <v>0</v>
      </c>
      <c r="K46" s="53">
        <f t="shared" si="43"/>
        <v>0</v>
      </c>
      <c r="M46" s="53">
        <v>6</v>
      </c>
      <c r="N46" s="53">
        <f t="shared" si="44"/>
        <v>0</v>
      </c>
      <c r="O46" s="53">
        <f t="shared" si="44"/>
        <v>0</v>
      </c>
      <c r="P46" s="53">
        <f t="shared" si="44"/>
        <v>0</v>
      </c>
      <c r="Q46" s="53">
        <f t="shared" si="44"/>
        <v>6</v>
      </c>
      <c r="R46" s="53">
        <f t="shared" si="44"/>
        <v>0</v>
      </c>
      <c r="S46" s="53">
        <f t="shared" si="44"/>
        <v>0</v>
      </c>
    </row>
    <row r="47" spans="1:19" x14ac:dyDescent="0.35">
      <c r="A47" s="50">
        <v>6</v>
      </c>
      <c r="B47" s="53" t="str">
        <f>IFERROR(VLOOKUP(A47,'13 - 15'!$A$14:$E$24,5,FALSE),0)</f>
        <v>Synchronacity</v>
      </c>
      <c r="C47" s="53" t="str">
        <f>IFERROR(VLOOKUP(A47,'13 - 15'!$B$14:$E$24,4,FALSE),0)</f>
        <v>Synchronacity</v>
      </c>
      <c r="E47" s="53">
        <v>5</v>
      </c>
      <c r="F47" s="53">
        <f t="shared" si="43"/>
        <v>0</v>
      </c>
      <c r="G47" s="53">
        <f t="shared" si="43"/>
        <v>0</v>
      </c>
      <c r="H47" s="53">
        <f t="shared" si="43"/>
        <v>0</v>
      </c>
      <c r="I47" s="53">
        <f t="shared" si="43"/>
        <v>0</v>
      </c>
      <c r="J47" s="53">
        <f t="shared" si="43"/>
        <v>5</v>
      </c>
      <c r="K47" s="53">
        <f t="shared" si="43"/>
        <v>0</v>
      </c>
      <c r="M47" s="53">
        <v>5</v>
      </c>
      <c r="N47" s="53">
        <f t="shared" si="44"/>
        <v>0</v>
      </c>
      <c r="O47" s="53">
        <f t="shared" si="44"/>
        <v>0</v>
      </c>
      <c r="P47" s="53">
        <f t="shared" si="44"/>
        <v>0</v>
      </c>
      <c r="Q47" s="53">
        <f t="shared" si="44"/>
        <v>0</v>
      </c>
      <c r="R47" s="53">
        <f t="shared" si="44"/>
        <v>5</v>
      </c>
      <c r="S47" s="53">
        <f t="shared" si="44"/>
        <v>0</v>
      </c>
    </row>
    <row r="48" spans="1:19" x14ac:dyDescent="0.35">
      <c r="A48" s="50">
        <v>7</v>
      </c>
      <c r="B48" s="53" t="str">
        <f>IFERROR(VLOOKUP(A48,'13 - 15'!$A$14:$E$24,5,FALSE),0)</f>
        <v>Umlazi Sharks</v>
      </c>
      <c r="C48" s="53" t="str">
        <f>IFERROR(VLOOKUP(A48,'13 - 15'!$B$14:$E$24,4,FALSE),0)</f>
        <v>Umlazi Sharks</v>
      </c>
      <c r="E48" s="53">
        <v>4</v>
      </c>
      <c r="F48" s="53">
        <f t="shared" si="43"/>
        <v>0</v>
      </c>
      <c r="G48" s="53">
        <f t="shared" si="43"/>
        <v>0</v>
      </c>
      <c r="H48" s="53">
        <f t="shared" si="43"/>
        <v>0</v>
      </c>
      <c r="I48" s="53">
        <f t="shared" si="43"/>
        <v>4</v>
      </c>
      <c r="J48" s="53">
        <f t="shared" si="43"/>
        <v>0</v>
      </c>
      <c r="K48" s="53">
        <f t="shared" si="43"/>
        <v>0</v>
      </c>
      <c r="M48" s="53">
        <v>4</v>
      </c>
      <c r="N48" s="53">
        <f t="shared" si="44"/>
        <v>0</v>
      </c>
      <c r="O48" s="53">
        <f t="shared" si="44"/>
        <v>0</v>
      </c>
      <c r="P48" s="53">
        <f t="shared" si="44"/>
        <v>0</v>
      </c>
      <c r="Q48" s="53">
        <f t="shared" si="44"/>
        <v>4</v>
      </c>
      <c r="R48" s="53">
        <f t="shared" si="44"/>
        <v>0</v>
      </c>
      <c r="S48" s="53">
        <f t="shared" si="44"/>
        <v>0</v>
      </c>
    </row>
    <row r="49" spans="1:19" x14ac:dyDescent="0.35">
      <c r="A49" s="50">
        <v>8</v>
      </c>
      <c r="B49" s="53" t="str">
        <f>IFERROR(VLOOKUP(A49,'13 - 15'!$A$14:$E$24,5,FALSE),0)</f>
        <v>Synchronacity</v>
      </c>
      <c r="C49" s="53" t="str">
        <f>IFERROR(VLOOKUP(A49,'13 - 15'!$B$14:$E$24,4,FALSE),0)</f>
        <v>Umlazi Sharks</v>
      </c>
      <c r="E49" s="53">
        <v>3</v>
      </c>
      <c r="F49" s="53">
        <f t="shared" si="43"/>
        <v>0</v>
      </c>
      <c r="G49" s="53">
        <f t="shared" si="43"/>
        <v>0</v>
      </c>
      <c r="H49" s="53">
        <f t="shared" si="43"/>
        <v>0</v>
      </c>
      <c r="I49" s="53">
        <f t="shared" si="43"/>
        <v>0</v>
      </c>
      <c r="J49" s="53">
        <f t="shared" si="43"/>
        <v>3</v>
      </c>
      <c r="K49" s="53">
        <f t="shared" si="43"/>
        <v>0</v>
      </c>
      <c r="M49" s="53">
        <v>3</v>
      </c>
      <c r="N49" s="53">
        <f t="shared" si="44"/>
        <v>0</v>
      </c>
      <c r="O49" s="53">
        <f t="shared" si="44"/>
        <v>0</v>
      </c>
      <c r="P49" s="53">
        <f t="shared" si="44"/>
        <v>0</v>
      </c>
      <c r="Q49" s="53">
        <f t="shared" si="44"/>
        <v>3</v>
      </c>
      <c r="R49" s="53">
        <f t="shared" si="44"/>
        <v>0</v>
      </c>
      <c r="S49" s="53">
        <f t="shared" si="44"/>
        <v>0</v>
      </c>
    </row>
    <row r="50" spans="1:19" x14ac:dyDescent="0.35">
      <c r="A50" s="50">
        <v>9</v>
      </c>
      <c r="B50" s="53" t="str">
        <f>IFERROR(VLOOKUP(A50,'13 - 15'!$A$14:$E$24,5,FALSE),0)</f>
        <v>Umlazi Sharks</v>
      </c>
      <c r="C50" s="53">
        <f>IFERROR(VLOOKUP(A50,'13 - 15'!$B$14:$E$24,4,FALSE),0)</f>
        <v>0</v>
      </c>
      <c r="E50" s="48">
        <v>2</v>
      </c>
      <c r="F50" s="53">
        <f t="shared" si="43"/>
        <v>0</v>
      </c>
      <c r="G50" s="53">
        <f t="shared" si="43"/>
        <v>0</v>
      </c>
      <c r="H50" s="53">
        <f t="shared" si="43"/>
        <v>0</v>
      </c>
      <c r="I50" s="53">
        <f t="shared" si="43"/>
        <v>2</v>
      </c>
      <c r="J50" s="53">
        <f t="shared" si="43"/>
        <v>0</v>
      </c>
      <c r="K50" s="53">
        <f t="shared" si="43"/>
        <v>0</v>
      </c>
      <c r="M50" s="48">
        <v>2</v>
      </c>
      <c r="N50" s="53">
        <f t="shared" si="44"/>
        <v>0</v>
      </c>
      <c r="O50" s="53">
        <f t="shared" si="44"/>
        <v>0</v>
      </c>
      <c r="P50" s="53">
        <f t="shared" si="44"/>
        <v>0</v>
      </c>
      <c r="Q50" s="53">
        <f t="shared" si="44"/>
        <v>0</v>
      </c>
      <c r="R50" s="53">
        <f t="shared" si="44"/>
        <v>0</v>
      </c>
      <c r="S50" s="53">
        <f t="shared" si="44"/>
        <v>0</v>
      </c>
    </row>
    <row r="51" spans="1:19" x14ac:dyDescent="0.35">
      <c r="A51" s="50">
        <v>10</v>
      </c>
      <c r="B51" s="53" t="str">
        <f>IFERROR(VLOOKUP(A51,'13 - 15'!$A$14:$E$24,5,FALSE),0)</f>
        <v>Synchronacity</v>
      </c>
      <c r="C51" s="53">
        <f>IFERROR(VLOOKUP(A51,'13 - 15'!$B$14:$E$24,4,FALSE),0)</f>
        <v>0</v>
      </c>
      <c r="E51" s="88" t="s">
        <v>5</v>
      </c>
      <c r="F51" s="88">
        <f t="shared" ref="F51:K51" si="45">SUM(F42:F50)</f>
        <v>0</v>
      </c>
      <c r="G51" s="88">
        <f t="shared" si="45"/>
        <v>0</v>
      </c>
      <c r="H51" s="88">
        <f t="shared" si="45"/>
        <v>0</v>
      </c>
      <c r="I51" s="88">
        <f t="shared" si="45"/>
        <v>12</v>
      </c>
      <c r="J51" s="88">
        <f t="shared" si="45"/>
        <v>8</v>
      </c>
      <c r="K51" s="88">
        <f t="shared" si="45"/>
        <v>41</v>
      </c>
      <c r="M51" s="88" t="s">
        <v>5</v>
      </c>
      <c r="N51" s="88">
        <f t="shared" ref="N51:S51" si="46">SUM(N42:N50)</f>
        <v>0</v>
      </c>
      <c r="O51" s="88">
        <f t="shared" si="46"/>
        <v>0</v>
      </c>
      <c r="P51" s="88">
        <f t="shared" si="46"/>
        <v>0</v>
      </c>
      <c r="Q51" s="88">
        <f t="shared" si="46"/>
        <v>13</v>
      </c>
      <c r="R51" s="88">
        <f t="shared" si="46"/>
        <v>23</v>
      </c>
      <c r="S51" s="88">
        <f t="shared" si="46"/>
        <v>23</v>
      </c>
    </row>
    <row r="52" spans="1:19" x14ac:dyDescent="0.35">
      <c r="B52" s="29"/>
      <c r="C52" s="57"/>
    </row>
    <row r="53" spans="1:19" x14ac:dyDescent="0.35">
      <c r="B53" s="45" t="s">
        <v>122</v>
      </c>
      <c r="C53" s="8" t="s">
        <v>167</v>
      </c>
      <c r="E53" s="45" t="str">
        <f>+B53</f>
        <v>16 - 18</v>
      </c>
      <c r="F53" s="53" t="s">
        <v>125</v>
      </c>
      <c r="G53" s="53" t="s">
        <v>105</v>
      </c>
      <c r="H53" s="53" t="s">
        <v>90</v>
      </c>
      <c r="I53" s="53" t="s">
        <v>96</v>
      </c>
      <c r="J53" s="53" t="s">
        <v>101</v>
      </c>
      <c r="K53" s="64" t="s">
        <v>93</v>
      </c>
      <c r="M53" s="45" t="str">
        <f>+E53</f>
        <v>16 - 18</v>
      </c>
      <c r="N53" s="53" t="s">
        <v>125</v>
      </c>
      <c r="O53" s="53" t="s">
        <v>105</v>
      </c>
      <c r="P53" s="53" t="s">
        <v>90</v>
      </c>
      <c r="Q53" s="53" t="s">
        <v>96</v>
      </c>
      <c r="R53" s="53" t="s">
        <v>101</v>
      </c>
      <c r="S53" s="64" t="s">
        <v>93</v>
      </c>
    </row>
    <row r="54" spans="1:19" x14ac:dyDescent="0.35">
      <c r="A54" s="50">
        <v>1</v>
      </c>
      <c r="B54" s="53" t="str">
        <f>IFERROR(VLOOKUP(A54,'16 - 18'!A$14:E$14,5,FALSE),0)</f>
        <v>Synchronacity</v>
      </c>
      <c r="C54" s="53" t="str">
        <f>IFERROR(VLOOKUP(A54,'16 - 18'!$B$14:$E$14,4,FALSE),0)</f>
        <v>Synchronacity</v>
      </c>
      <c r="E54" s="46">
        <v>14</v>
      </c>
      <c r="F54" s="53">
        <f>IF($B54=F$4,$E54,0)</f>
        <v>0</v>
      </c>
      <c r="G54" s="53">
        <f t="shared" ref="G54:K54" si="47">IF($B54=G$4,$E54,0)</f>
        <v>0</v>
      </c>
      <c r="H54" s="53">
        <f t="shared" si="47"/>
        <v>0</v>
      </c>
      <c r="I54" s="53">
        <f t="shared" si="47"/>
        <v>0</v>
      </c>
      <c r="J54" s="53">
        <f t="shared" si="47"/>
        <v>14</v>
      </c>
      <c r="K54" s="53">
        <f t="shared" si="47"/>
        <v>0</v>
      </c>
      <c r="M54" s="46">
        <v>14</v>
      </c>
      <c r="N54" s="53">
        <f>IF($C54=N$4,$E54,0)</f>
        <v>0</v>
      </c>
      <c r="O54" s="53">
        <f t="shared" ref="O54:S54" si="48">IF($C54=O$4,$E54,0)</f>
        <v>0</v>
      </c>
      <c r="P54" s="53">
        <f t="shared" si="48"/>
        <v>0</v>
      </c>
      <c r="Q54" s="53">
        <f t="shared" si="48"/>
        <v>0</v>
      </c>
      <c r="R54" s="53">
        <f t="shared" si="48"/>
        <v>14</v>
      </c>
      <c r="S54" s="53">
        <f t="shared" si="48"/>
        <v>0</v>
      </c>
    </row>
    <row r="55" spans="1:19" x14ac:dyDescent="0.35">
      <c r="B55" s="57"/>
      <c r="C55" s="57"/>
      <c r="E55" s="88" t="s">
        <v>5</v>
      </c>
      <c r="F55" s="88">
        <f>SUM(F54:F54)</f>
        <v>0</v>
      </c>
      <c r="G55" s="88">
        <f t="shared" ref="G55:K55" si="49">SUM(G54:G54)</f>
        <v>0</v>
      </c>
      <c r="H55" s="88">
        <f t="shared" si="49"/>
        <v>0</v>
      </c>
      <c r="I55" s="88">
        <f t="shared" si="49"/>
        <v>0</v>
      </c>
      <c r="J55" s="88">
        <f t="shared" si="49"/>
        <v>14</v>
      </c>
      <c r="K55" s="88">
        <f t="shared" si="49"/>
        <v>0</v>
      </c>
      <c r="M55" s="88" t="s">
        <v>5</v>
      </c>
      <c r="N55" s="88">
        <f>SUM(N54:N54)</f>
        <v>0</v>
      </c>
      <c r="O55" s="88">
        <f t="shared" ref="O55:S55" si="50">SUM(O54:O54)</f>
        <v>0</v>
      </c>
      <c r="P55" s="88">
        <f t="shared" si="50"/>
        <v>0</v>
      </c>
      <c r="Q55" s="88">
        <f t="shared" si="50"/>
        <v>0</v>
      </c>
      <c r="R55" s="88">
        <f t="shared" si="50"/>
        <v>14</v>
      </c>
      <c r="S55" s="88">
        <f t="shared" si="50"/>
        <v>0</v>
      </c>
    </row>
    <row r="56" spans="1:19" x14ac:dyDescent="0.35">
      <c r="B56" s="29"/>
      <c r="C56" s="57"/>
    </row>
    <row r="57" spans="1:19" x14ac:dyDescent="0.35">
      <c r="B57" s="92" t="s">
        <v>178</v>
      </c>
      <c r="C57" s="57"/>
      <c r="E57" s="45" t="str">
        <f>+B57</f>
        <v>Duets U12</v>
      </c>
      <c r="F57" s="53" t="s">
        <v>125</v>
      </c>
      <c r="G57" s="53" t="s">
        <v>105</v>
      </c>
      <c r="H57" s="53" t="s">
        <v>90</v>
      </c>
      <c r="I57" s="53" t="s">
        <v>96</v>
      </c>
      <c r="J57" s="53" t="s">
        <v>101</v>
      </c>
      <c r="K57" s="64" t="s">
        <v>93</v>
      </c>
      <c r="M57" s="101" t="s">
        <v>181</v>
      </c>
      <c r="N57" s="93"/>
      <c r="O57" s="93"/>
      <c r="P57" s="93"/>
      <c r="Q57" s="93"/>
      <c r="R57" s="93"/>
      <c r="S57" s="93"/>
    </row>
    <row r="58" spans="1:19" x14ac:dyDescent="0.35">
      <c r="A58" s="50">
        <v>1</v>
      </c>
      <c r="B58" s="22" t="e">
        <f>VLOOKUP($A58,Duets!$A$13:$E$14,5,FALSE)</f>
        <v>#N/A</v>
      </c>
      <c r="C58" s="57"/>
      <c r="E58" s="46">
        <v>14</v>
      </c>
      <c r="F58" s="53" t="e">
        <f>IF($B58=F$4,$E58,0)</f>
        <v>#N/A</v>
      </c>
      <c r="G58" s="53" t="e">
        <f t="shared" ref="G58:K58" si="51">IF($B58=G$4,$E58,0)</f>
        <v>#N/A</v>
      </c>
      <c r="H58" s="53" t="e">
        <f t="shared" si="51"/>
        <v>#N/A</v>
      </c>
      <c r="I58" s="53" t="e">
        <f t="shared" si="51"/>
        <v>#N/A</v>
      </c>
      <c r="J58" s="53" t="e">
        <f t="shared" si="51"/>
        <v>#N/A</v>
      </c>
      <c r="K58" s="53" t="e">
        <f t="shared" si="51"/>
        <v>#N/A</v>
      </c>
      <c r="M58" s="93"/>
      <c r="N58" s="93"/>
      <c r="O58" s="93"/>
      <c r="P58" s="93"/>
      <c r="Q58" s="93"/>
      <c r="R58" s="93"/>
      <c r="S58" s="93"/>
    </row>
    <row r="59" spans="1:19" x14ac:dyDescent="0.35">
      <c r="B59" s="29"/>
      <c r="C59" s="57"/>
      <c r="E59" s="88" t="s">
        <v>5</v>
      </c>
      <c r="F59" s="88" t="e">
        <f>SUM(F58:F58)</f>
        <v>#N/A</v>
      </c>
      <c r="G59" s="88" t="e">
        <f t="shared" ref="G59" si="52">SUM(G58:G58)</f>
        <v>#N/A</v>
      </c>
      <c r="H59" s="88" t="e">
        <f t="shared" ref="H59" si="53">SUM(H58:H58)</f>
        <v>#N/A</v>
      </c>
      <c r="I59" s="88" t="e">
        <f t="shared" ref="I59" si="54">SUM(I58:I58)</f>
        <v>#N/A</v>
      </c>
      <c r="J59" s="88" t="e">
        <f t="shared" ref="J59" si="55">SUM(J58:J58)</f>
        <v>#N/A</v>
      </c>
      <c r="K59" s="88" t="e">
        <f t="shared" ref="K59" si="56">SUM(K58:K58)</f>
        <v>#N/A</v>
      </c>
      <c r="M59" s="91"/>
      <c r="N59" s="90" t="s">
        <v>125</v>
      </c>
      <c r="O59" s="90" t="s">
        <v>105</v>
      </c>
      <c r="P59" s="90" t="s">
        <v>90</v>
      </c>
      <c r="Q59" s="90" t="s">
        <v>96</v>
      </c>
      <c r="R59" s="90" t="s">
        <v>101</v>
      </c>
      <c r="S59" s="90" t="s">
        <v>93</v>
      </c>
    </row>
    <row r="60" spans="1:19" x14ac:dyDescent="0.35">
      <c r="C60" s="57"/>
      <c r="M60" s="91" t="s">
        <v>3</v>
      </c>
      <c r="N60" s="91">
        <f>+F9+F16+F21+F28+F39+F51+F55</f>
        <v>0</v>
      </c>
      <c r="O60" s="91">
        <f t="shared" ref="O60:S60" si="57">+G9+G16+G21+G28+G39+G51+G55</f>
        <v>83</v>
      </c>
      <c r="P60" s="91">
        <f t="shared" si="57"/>
        <v>14</v>
      </c>
      <c r="Q60" s="91">
        <f t="shared" si="57"/>
        <v>23</v>
      </c>
      <c r="R60" s="91">
        <f t="shared" si="57"/>
        <v>42</v>
      </c>
      <c r="S60" s="91">
        <f t="shared" si="57"/>
        <v>63</v>
      </c>
    </row>
    <row r="61" spans="1:19" x14ac:dyDescent="0.35">
      <c r="B61" s="92" t="s">
        <v>65</v>
      </c>
      <c r="C61" s="57"/>
      <c r="E61" s="45" t="str">
        <f>+B61</f>
        <v>Duets 13 - 15</v>
      </c>
      <c r="F61" s="53" t="s">
        <v>125</v>
      </c>
      <c r="G61" s="53" t="s">
        <v>105</v>
      </c>
      <c r="H61" s="53" t="s">
        <v>90</v>
      </c>
      <c r="I61" s="53" t="s">
        <v>96</v>
      </c>
      <c r="J61" s="53" t="s">
        <v>101</v>
      </c>
      <c r="K61" s="64" t="s">
        <v>93</v>
      </c>
      <c r="M61" s="91" t="s">
        <v>167</v>
      </c>
      <c r="N61" s="91">
        <f>+N9+N16+N21+N28+N39+N51+N55</f>
        <v>0</v>
      </c>
      <c r="O61" s="91">
        <f t="shared" ref="O61:S61" si="58">+O9+O16+O21+O28+O39+O51+O55</f>
        <v>14</v>
      </c>
      <c r="P61" s="91">
        <f t="shared" si="58"/>
        <v>14</v>
      </c>
      <c r="Q61" s="91">
        <f t="shared" si="58"/>
        <v>22</v>
      </c>
      <c r="R61" s="91">
        <f t="shared" si="58"/>
        <v>57</v>
      </c>
      <c r="S61" s="91">
        <f t="shared" si="58"/>
        <v>50</v>
      </c>
    </row>
    <row r="62" spans="1:19" x14ac:dyDescent="0.35">
      <c r="A62" s="50">
        <v>1</v>
      </c>
      <c r="B62" s="22" t="str">
        <f>VLOOKUP($A62,Duets!$A$15:E$20,5,FALSE)</f>
        <v>DGC</v>
      </c>
      <c r="C62" s="57"/>
      <c r="E62" s="46">
        <v>14</v>
      </c>
      <c r="F62" s="53">
        <f>IF($B62=F$4,$E62,0)</f>
        <v>0</v>
      </c>
      <c r="G62" s="53">
        <f t="shared" ref="G62:K64" si="59">IF($B62=G$4,$E62,0)</f>
        <v>0</v>
      </c>
      <c r="H62" s="53">
        <f t="shared" si="59"/>
        <v>0</v>
      </c>
      <c r="I62" s="53">
        <f t="shared" si="59"/>
        <v>0</v>
      </c>
      <c r="J62" s="53">
        <f t="shared" si="59"/>
        <v>0</v>
      </c>
      <c r="K62" s="53">
        <f t="shared" si="59"/>
        <v>14</v>
      </c>
      <c r="M62" s="91" t="s">
        <v>171</v>
      </c>
      <c r="N62" s="91" t="e">
        <f>+F59+F65</f>
        <v>#N/A</v>
      </c>
      <c r="O62" s="91" t="e">
        <f t="shared" ref="O62:S62" si="60">+G59+G65</f>
        <v>#N/A</v>
      </c>
      <c r="P62" s="91" t="e">
        <f t="shared" si="60"/>
        <v>#N/A</v>
      </c>
      <c r="Q62" s="91" t="e">
        <f t="shared" si="60"/>
        <v>#N/A</v>
      </c>
      <c r="R62" s="91" t="e">
        <f t="shared" si="60"/>
        <v>#N/A</v>
      </c>
      <c r="S62" s="91" t="e">
        <f t="shared" si="60"/>
        <v>#N/A</v>
      </c>
    </row>
    <row r="63" spans="1:19" x14ac:dyDescent="0.35">
      <c r="A63" s="50">
        <v>2</v>
      </c>
      <c r="B63" s="22" t="str">
        <f>IFERROR(VLOOKUP($A63,Duets!$A$15:E$20,5,FALSE),"")</f>
        <v>DGC</v>
      </c>
      <c r="C63" s="57"/>
      <c r="E63" s="53">
        <v>11</v>
      </c>
      <c r="F63" s="53">
        <f t="shared" ref="F63:F64" si="61">IF($B63=F$4,$E63,0)</f>
        <v>0</v>
      </c>
      <c r="G63" s="53">
        <f t="shared" si="59"/>
        <v>0</v>
      </c>
      <c r="H63" s="53">
        <f t="shared" si="59"/>
        <v>0</v>
      </c>
      <c r="I63" s="53">
        <f t="shared" si="59"/>
        <v>0</v>
      </c>
      <c r="J63" s="53">
        <f t="shared" si="59"/>
        <v>0</v>
      </c>
      <c r="K63" s="53">
        <f t="shared" si="59"/>
        <v>11</v>
      </c>
      <c r="M63" s="91" t="s">
        <v>172</v>
      </c>
      <c r="N63" s="91">
        <f>+F70+F76</f>
        <v>0</v>
      </c>
      <c r="O63" s="91">
        <f t="shared" ref="O63:S63" si="62">+G70+G76</f>
        <v>0</v>
      </c>
      <c r="P63" s="91">
        <f t="shared" si="62"/>
        <v>0</v>
      </c>
      <c r="Q63" s="91">
        <f t="shared" si="62"/>
        <v>11</v>
      </c>
      <c r="R63" s="91">
        <f t="shared" si="62"/>
        <v>14</v>
      </c>
      <c r="S63" s="91">
        <f t="shared" si="62"/>
        <v>25</v>
      </c>
    </row>
    <row r="64" spans="1:19" x14ac:dyDescent="0.35">
      <c r="A64" s="50">
        <v>3</v>
      </c>
      <c r="B64" s="22" t="str">
        <f>IFERROR(VLOOKUP($A64,Duets!$A$15:E$20,5,FALSE),"")</f>
        <v>Umlazi Sharks</v>
      </c>
      <c r="C64" s="57"/>
      <c r="E64" s="53">
        <v>9</v>
      </c>
      <c r="F64" s="53">
        <f t="shared" si="61"/>
        <v>0</v>
      </c>
      <c r="G64" s="53">
        <f t="shared" si="59"/>
        <v>0</v>
      </c>
      <c r="H64" s="53">
        <f t="shared" si="59"/>
        <v>0</v>
      </c>
      <c r="I64" s="53">
        <f t="shared" si="59"/>
        <v>9</v>
      </c>
      <c r="J64" s="53">
        <f t="shared" si="59"/>
        <v>0</v>
      </c>
      <c r="K64" s="53">
        <f t="shared" si="59"/>
        <v>0</v>
      </c>
      <c r="M64" s="90" t="s">
        <v>5</v>
      </c>
      <c r="N64" s="90" t="e">
        <f>SUM(N60:N63)</f>
        <v>#N/A</v>
      </c>
      <c r="O64" s="90" t="e">
        <f t="shared" ref="O64:S64" si="63">SUM(O60:O63)</f>
        <v>#N/A</v>
      </c>
      <c r="P64" s="90" t="e">
        <f t="shared" si="63"/>
        <v>#N/A</v>
      </c>
      <c r="Q64" s="90" t="e">
        <f t="shared" si="63"/>
        <v>#N/A</v>
      </c>
      <c r="R64" s="90" t="e">
        <f t="shared" si="63"/>
        <v>#N/A</v>
      </c>
      <c r="S64" s="90" t="e">
        <f t="shared" si="63"/>
        <v>#N/A</v>
      </c>
    </row>
    <row r="65" spans="1:19" x14ac:dyDescent="0.35">
      <c r="B65" s="29"/>
      <c r="C65" s="57"/>
      <c r="E65" s="88" t="s">
        <v>5</v>
      </c>
      <c r="F65" s="88">
        <f>SUM(F62:F64)</f>
        <v>0</v>
      </c>
      <c r="G65" s="88">
        <f t="shared" ref="G65:K65" si="64">SUM(G62:G64)</f>
        <v>0</v>
      </c>
      <c r="H65" s="88">
        <f t="shared" si="64"/>
        <v>0</v>
      </c>
      <c r="I65" s="88">
        <f t="shared" si="64"/>
        <v>9</v>
      </c>
      <c r="J65" s="88">
        <f t="shared" si="64"/>
        <v>0</v>
      </c>
      <c r="K65" s="88">
        <f t="shared" si="64"/>
        <v>25</v>
      </c>
      <c r="M65" s="93"/>
      <c r="N65" s="93"/>
      <c r="O65" s="93"/>
      <c r="P65" s="93"/>
      <c r="Q65" s="93"/>
      <c r="R65" s="93"/>
      <c r="S65" s="93"/>
    </row>
    <row r="66" spans="1:19" x14ac:dyDescent="0.35">
      <c r="B66" s="29"/>
      <c r="C66" s="57"/>
    </row>
    <row r="67" spans="1:19" x14ac:dyDescent="0.35">
      <c r="B67" s="92" t="s">
        <v>179</v>
      </c>
      <c r="C67" s="57"/>
      <c r="E67" s="45" t="str">
        <f>+B67</f>
        <v>Trios U12</v>
      </c>
      <c r="F67" s="53" t="s">
        <v>125</v>
      </c>
      <c r="G67" s="53" t="s">
        <v>105</v>
      </c>
      <c r="H67" s="53" t="s">
        <v>90</v>
      </c>
      <c r="I67" s="53" t="s">
        <v>96</v>
      </c>
      <c r="J67" s="53" t="s">
        <v>101</v>
      </c>
      <c r="K67" s="64" t="s">
        <v>93</v>
      </c>
      <c r="O67" s="50">
        <v>28</v>
      </c>
      <c r="P67" s="50">
        <v>28</v>
      </c>
      <c r="Q67" s="50">
        <f>Q60+Q61+Q63</f>
        <v>56</v>
      </c>
      <c r="R67" s="50">
        <f>R60+R61+R63</f>
        <v>113</v>
      </c>
      <c r="S67" s="50">
        <f>S60+S61+S63</f>
        <v>138</v>
      </c>
    </row>
    <row r="68" spans="1:19" x14ac:dyDescent="0.35">
      <c r="A68" s="50">
        <v>1</v>
      </c>
      <c r="B68" s="22" t="str">
        <f>IFERROR(VLOOKUP($A68,Trio!$A$12:$E$13,5,FALSE),"")</f>
        <v>Synchronacity</v>
      </c>
      <c r="C68" s="57"/>
      <c r="E68" s="46">
        <v>14</v>
      </c>
      <c r="F68" s="53">
        <f>IF($B68=F$4,$E68,0)</f>
        <v>0</v>
      </c>
      <c r="G68" s="53">
        <f t="shared" ref="G68:K69" si="65">IF($B68=G$4,$E68,0)</f>
        <v>0</v>
      </c>
      <c r="H68" s="53">
        <f t="shared" si="65"/>
        <v>0</v>
      </c>
      <c r="I68" s="53">
        <f t="shared" si="65"/>
        <v>0</v>
      </c>
      <c r="J68" s="53">
        <f t="shared" si="65"/>
        <v>14</v>
      </c>
      <c r="K68" s="53">
        <f t="shared" si="65"/>
        <v>0</v>
      </c>
    </row>
    <row r="69" spans="1:19" x14ac:dyDescent="0.35">
      <c r="A69" s="50">
        <v>2</v>
      </c>
      <c r="B69" s="22" t="str">
        <f>IFERROR(VLOOKUP($A69,Trio!$A$12:$E$13,5,FALSE),"")</f>
        <v>DGC</v>
      </c>
      <c r="C69" s="57"/>
      <c r="E69" s="53">
        <v>11</v>
      </c>
      <c r="F69" s="53">
        <f t="shared" ref="F69" si="66">IF($B69=F$4,$E69,0)</f>
        <v>0</v>
      </c>
      <c r="G69" s="53">
        <f t="shared" si="65"/>
        <v>0</v>
      </c>
      <c r="H69" s="53">
        <f t="shared" si="65"/>
        <v>0</v>
      </c>
      <c r="I69" s="53">
        <f t="shared" si="65"/>
        <v>0</v>
      </c>
      <c r="J69" s="53">
        <f t="shared" si="65"/>
        <v>0</v>
      </c>
      <c r="K69" s="53">
        <f t="shared" si="65"/>
        <v>11</v>
      </c>
    </row>
    <row r="70" spans="1:19" x14ac:dyDescent="0.35">
      <c r="B70" s="29"/>
      <c r="C70" s="57"/>
      <c r="E70" s="88" t="s">
        <v>5</v>
      </c>
      <c r="F70" s="88">
        <f t="shared" ref="F70:K70" si="67">SUM(F68:F69)</f>
        <v>0</v>
      </c>
      <c r="G70" s="88">
        <f t="shared" si="67"/>
        <v>0</v>
      </c>
      <c r="H70" s="88">
        <f t="shared" si="67"/>
        <v>0</v>
      </c>
      <c r="I70" s="88">
        <f t="shared" si="67"/>
        <v>0</v>
      </c>
      <c r="J70" s="88">
        <f t="shared" si="67"/>
        <v>14</v>
      </c>
      <c r="K70" s="88">
        <f t="shared" si="67"/>
        <v>11</v>
      </c>
    </row>
    <row r="71" spans="1:19" x14ac:dyDescent="0.35">
      <c r="B71" s="29"/>
      <c r="C71" s="57"/>
    </row>
    <row r="72" spans="1:19" x14ac:dyDescent="0.35">
      <c r="B72" s="92" t="s">
        <v>180</v>
      </c>
      <c r="C72" s="57"/>
      <c r="E72" s="45" t="str">
        <f>+B72</f>
        <v>Trios 13 -15</v>
      </c>
      <c r="F72" s="53" t="s">
        <v>125</v>
      </c>
      <c r="G72" s="53" t="s">
        <v>105</v>
      </c>
      <c r="H72" s="53" t="s">
        <v>90</v>
      </c>
      <c r="I72" s="53" t="s">
        <v>96</v>
      </c>
      <c r="J72" s="53" t="s">
        <v>101</v>
      </c>
      <c r="K72" s="64" t="s">
        <v>93</v>
      </c>
    </row>
    <row r="73" spans="1:19" x14ac:dyDescent="0.35">
      <c r="A73" s="50">
        <v>1</v>
      </c>
      <c r="B73" s="22" t="str">
        <f>IFERROR(VLOOKUP($A73,Trio!$A$21:$G$23,5,FALSE),"")</f>
        <v>DGC</v>
      </c>
      <c r="C73" s="57"/>
      <c r="E73" s="46">
        <v>14</v>
      </c>
      <c r="F73" s="53">
        <f>IF($B73=F$4,$E73,0)</f>
        <v>0</v>
      </c>
      <c r="G73" s="53">
        <f t="shared" ref="G73:K75" si="68">IF($B73=G$4,$E73,0)</f>
        <v>0</v>
      </c>
      <c r="H73" s="53">
        <f t="shared" si="68"/>
        <v>0</v>
      </c>
      <c r="I73" s="53">
        <f t="shared" si="68"/>
        <v>0</v>
      </c>
      <c r="J73" s="53">
        <f t="shared" si="68"/>
        <v>0</v>
      </c>
      <c r="K73" s="53">
        <f t="shared" si="68"/>
        <v>14</v>
      </c>
    </row>
    <row r="74" spans="1:19" x14ac:dyDescent="0.35">
      <c r="A74" s="50">
        <v>2</v>
      </c>
      <c r="B74" s="22" t="str">
        <f>IFERROR(VLOOKUP($A74,Trio!$A$21:$G$23,5,FALSE),"")</f>
        <v>Umlazi Sharks</v>
      </c>
      <c r="C74" s="57"/>
      <c r="E74" s="53">
        <v>11</v>
      </c>
      <c r="F74" s="53">
        <f t="shared" ref="F74:F75" si="69">IF($B74=F$4,$E74,0)</f>
        <v>0</v>
      </c>
      <c r="G74" s="53">
        <f t="shared" si="68"/>
        <v>0</v>
      </c>
      <c r="H74" s="53">
        <f t="shared" si="68"/>
        <v>0</v>
      </c>
      <c r="I74" s="53">
        <f t="shared" si="68"/>
        <v>11</v>
      </c>
      <c r="J74" s="53">
        <f t="shared" si="68"/>
        <v>0</v>
      </c>
      <c r="K74" s="53">
        <f t="shared" si="68"/>
        <v>0</v>
      </c>
    </row>
    <row r="75" spans="1:19" x14ac:dyDescent="0.35">
      <c r="A75" s="50">
        <v>3</v>
      </c>
      <c r="B75" s="22" t="str">
        <f>IFERROR(VLOOKUP($A75,Trio!$A$21:$G$23,5,FALSE),"")</f>
        <v/>
      </c>
      <c r="C75" s="57"/>
      <c r="E75" s="53">
        <v>9</v>
      </c>
      <c r="F75" s="53">
        <f t="shared" si="69"/>
        <v>0</v>
      </c>
      <c r="G75" s="53">
        <f t="shared" si="68"/>
        <v>0</v>
      </c>
      <c r="H75" s="53">
        <f t="shared" si="68"/>
        <v>0</v>
      </c>
      <c r="I75" s="53">
        <f t="shared" si="68"/>
        <v>0</v>
      </c>
      <c r="J75" s="53">
        <f t="shared" si="68"/>
        <v>0</v>
      </c>
      <c r="K75" s="53">
        <f t="shared" si="68"/>
        <v>0</v>
      </c>
    </row>
    <row r="76" spans="1:19" x14ac:dyDescent="0.35">
      <c r="B76" s="29"/>
      <c r="C76" s="57"/>
      <c r="E76" s="88" t="s">
        <v>5</v>
      </c>
      <c r="F76" s="88">
        <f>SUM(F73:F75)</f>
        <v>0</v>
      </c>
      <c r="G76" s="88">
        <f t="shared" ref="G76" si="70">SUM(G73:G75)</f>
        <v>0</v>
      </c>
      <c r="H76" s="88">
        <f t="shared" ref="H76" si="71">SUM(H73:H75)</f>
        <v>0</v>
      </c>
      <c r="I76" s="88">
        <f t="shared" ref="I76" si="72">SUM(I73:I75)</f>
        <v>11</v>
      </c>
      <c r="J76" s="88">
        <f t="shared" ref="J76" si="73">SUM(J73:J75)</f>
        <v>0</v>
      </c>
      <c r="K76" s="88">
        <f t="shared" ref="K76" si="74">SUM(K73:K75)</f>
        <v>14</v>
      </c>
    </row>
    <row r="77" spans="1:19" x14ac:dyDescent="0.35">
      <c r="B77" s="29"/>
      <c r="C77" s="57"/>
    </row>
    <row r="78" spans="1:19" x14ac:dyDescent="0.35">
      <c r="B78" s="29"/>
      <c r="C78" s="57"/>
    </row>
    <row r="79" spans="1:19" x14ac:dyDescent="0.35">
      <c r="B79" s="29"/>
      <c r="C79" s="57"/>
    </row>
    <row r="80" spans="1:19" x14ac:dyDescent="0.35">
      <c r="B80" s="29"/>
      <c r="C80" s="57"/>
    </row>
    <row r="81" spans="2:3" x14ac:dyDescent="0.35">
      <c r="B81" s="29"/>
      <c r="C81" s="57"/>
    </row>
    <row r="82" spans="2:3" x14ac:dyDescent="0.35">
      <c r="B82" s="29"/>
      <c r="C82" s="57"/>
    </row>
    <row r="83" spans="2:3" x14ac:dyDescent="0.35">
      <c r="B83" s="29"/>
      <c r="C83" s="57"/>
    </row>
    <row r="84" spans="2:3" x14ac:dyDescent="0.35">
      <c r="B84" s="29"/>
      <c r="C84" s="57"/>
    </row>
    <row r="85" spans="2:3" x14ac:dyDescent="0.35">
      <c r="B85" s="29"/>
      <c r="C85" s="57"/>
    </row>
    <row r="86" spans="2:3" x14ac:dyDescent="0.35">
      <c r="B86" s="29"/>
      <c r="C86" s="57"/>
    </row>
    <row r="87" spans="2:3" x14ac:dyDescent="0.35">
      <c r="B87" s="29"/>
      <c r="C87" s="57"/>
    </row>
    <row r="88" spans="2:3" x14ac:dyDescent="0.35">
      <c r="B88" s="29"/>
      <c r="C88" s="57"/>
    </row>
    <row r="89" spans="2:3" x14ac:dyDescent="0.35">
      <c r="B89" s="29"/>
      <c r="C89" s="57"/>
    </row>
    <row r="90" spans="2:3" x14ac:dyDescent="0.35">
      <c r="B90" s="29"/>
      <c r="C90" s="57"/>
    </row>
    <row r="91" spans="2:3" x14ac:dyDescent="0.35">
      <c r="B91" s="29"/>
      <c r="C91" s="57"/>
    </row>
    <row r="92" spans="2:3" x14ac:dyDescent="0.35">
      <c r="B92" s="29"/>
      <c r="C92" s="57"/>
    </row>
    <row r="93" spans="2:3" x14ac:dyDescent="0.35">
      <c r="B93" s="29"/>
      <c r="C93" s="57"/>
    </row>
    <row r="94" spans="2:3" x14ac:dyDescent="0.35">
      <c r="B94" s="29"/>
      <c r="C94" s="57"/>
    </row>
    <row r="95" spans="2:3" x14ac:dyDescent="0.35">
      <c r="B95" s="29"/>
      <c r="C95" s="57"/>
    </row>
    <row r="96" spans="2:3" x14ac:dyDescent="0.35">
      <c r="B96" s="29"/>
      <c r="C96" s="57"/>
    </row>
    <row r="97" spans="2:3" x14ac:dyDescent="0.35">
      <c r="B97" s="29"/>
      <c r="C97" s="57"/>
    </row>
    <row r="98" spans="2:3" x14ac:dyDescent="0.35">
      <c r="B98" s="29"/>
      <c r="C98" s="57"/>
    </row>
    <row r="99" spans="2:3" x14ac:dyDescent="0.35">
      <c r="B99" s="29"/>
      <c r="C99" s="57"/>
    </row>
    <row r="100" spans="2:3" x14ac:dyDescent="0.35">
      <c r="B100" s="29"/>
      <c r="C100" s="57"/>
    </row>
    <row r="101" spans="2:3" x14ac:dyDescent="0.35">
      <c r="B101" s="29"/>
      <c r="C101" s="57"/>
    </row>
    <row r="102" spans="2:3" x14ac:dyDescent="0.35">
      <c r="B102" s="29"/>
      <c r="C102" s="57"/>
    </row>
    <row r="103" spans="2:3" x14ac:dyDescent="0.35">
      <c r="B103" s="29"/>
      <c r="C103" s="57"/>
    </row>
    <row r="104" spans="2:3" x14ac:dyDescent="0.35">
      <c r="B104" s="29"/>
      <c r="C104" s="57"/>
    </row>
    <row r="105" spans="2:3" x14ac:dyDescent="0.35">
      <c r="B105" s="29"/>
      <c r="C105" s="57"/>
    </row>
    <row r="106" spans="2:3" x14ac:dyDescent="0.35">
      <c r="B106" s="29"/>
      <c r="C106" s="57"/>
    </row>
    <row r="107" spans="2:3" x14ac:dyDescent="0.35">
      <c r="B107" s="29"/>
      <c r="C107" s="57"/>
    </row>
    <row r="108" spans="2:3" x14ac:dyDescent="0.35">
      <c r="B108" s="29"/>
      <c r="C108" s="57"/>
    </row>
    <row r="109" spans="2:3" x14ac:dyDescent="0.35">
      <c r="B109" s="29"/>
      <c r="C109" s="57"/>
    </row>
    <row r="110" spans="2:3" x14ac:dyDescent="0.35">
      <c r="B110" s="29"/>
      <c r="C110" s="57"/>
    </row>
    <row r="111" spans="2:3" x14ac:dyDescent="0.35">
      <c r="B111" s="29"/>
      <c r="C111" s="57"/>
    </row>
    <row r="112" spans="2:3" x14ac:dyDescent="0.35">
      <c r="B112" s="29"/>
      <c r="C112" s="57"/>
    </row>
    <row r="113" spans="2:3" x14ac:dyDescent="0.35">
      <c r="B113" s="29"/>
      <c r="C113" s="57"/>
    </row>
    <row r="114" spans="2:3" x14ac:dyDescent="0.35">
      <c r="B114" s="29"/>
      <c r="C114" s="57"/>
    </row>
    <row r="115" spans="2:3" x14ac:dyDescent="0.35">
      <c r="B115" s="29"/>
      <c r="C115" s="57"/>
    </row>
    <row r="116" spans="2:3" x14ac:dyDescent="0.35">
      <c r="B116" s="29"/>
      <c r="C116" s="57"/>
    </row>
    <row r="117" spans="2:3" x14ac:dyDescent="0.35">
      <c r="B117" s="29"/>
      <c r="C117" s="57"/>
    </row>
    <row r="118" spans="2:3" x14ac:dyDescent="0.35">
      <c r="B118" s="29"/>
      <c r="C118" s="57"/>
    </row>
    <row r="119" spans="2:3" x14ac:dyDescent="0.35">
      <c r="B119" s="29"/>
      <c r="C119" s="57"/>
    </row>
    <row r="120" spans="2:3" x14ac:dyDescent="0.35">
      <c r="B120" s="29"/>
      <c r="C120" s="57"/>
    </row>
    <row r="121" spans="2:3" x14ac:dyDescent="0.35">
      <c r="B121" s="29"/>
      <c r="C121" s="57"/>
    </row>
    <row r="122" spans="2:3" x14ac:dyDescent="0.35">
      <c r="B122" s="29"/>
      <c r="C122" s="57"/>
    </row>
    <row r="123" spans="2:3" x14ac:dyDescent="0.35">
      <c r="B123" s="29"/>
      <c r="C123" s="57"/>
    </row>
    <row r="124" spans="2:3" x14ac:dyDescent="0.35">
      <c r="B124" s="29"/>
      <c r="C124" s="57"/>
    </row>
    <row r="125" spans="2:3" x14ac:dyDescent="0.35">
      <c r="B125" s="29"/>
      <c r="C125" s="57"/>
    </row>
    <row r="126" spans="2:3" x14ac:dyDescent="0.35">
      <c r="B126" s="29"/>
      <c r="C126" s="57"/>
    </row>
    <row r="127" spans="2:3" x14ac:dyDescent="0.35">
      <c r="B127" s="29"/>
      <c r="C127" s="57"/>
    </row>
    <row r="128" spans="2:3" x14ac:dyDescent="0.35">
      <c r="B128" s="29"/>
      <c r="C128" s="57"/>
    </row>
    <row r="129" spans="2:3" x14ac:dyDescent="0.35">
      <c r="B129" s="29"/>
      <c r="C129" s="57"/>
    </row>
    <row r="130" spans="2:3" x14ac:dyDescent="0.35">
      <c r="B130" s="29"/>
      <c r="C130" s="57"/>
    </row>
    <row r="131" spans="2:3" x14ac:dyDescent="0.35">
      <c r="B131" s="29"/>
      <c r="C131" s="57"/>
    </row>
    <row r="132" spans="2:3" x14ac:dyDescent="0.35">
      <c r="B132" s="29"/>
      <c r="C132" s="57"/>
    </row>
    <row r="133" spans="2:3" x14ac:dyDescent="0.35">
      <c r="B133" s="29"/>
      <c r="C133" s="57"/>
    </row>
    <row r="134" spans="2:3" x14ac:dyDescent="0.35">
      <c r="B134" s="29"/>
      <c r="C134" s="57"/>
    </row>
    <row r="135" spans="2:3" x14ac:dyDescent="0.35">
      <c r="B135" s="29"/>
      <c r="C135" s="57"/>
    </row>
    <row r="136" spans="2:3" x14ac:dyDescent="0.35">
      <c r="B136" s="29"/>
      <c r="C136" s="57"/>
    </row>
    <row r="137" spans="2:3" x14ac:dyDescent="0.35">
      <c r="B137" s="29"/>
      <c r="C137" s="57"/>
    </row>
    <row r="138" spans="2:3" x14ac:dyDescent="0.35">
      <c r="B138" s="29"/>
      <c r="C138" s="57"/>
    </row>
    <row r="139" spans="2:3" x14ac:dyDescent="0.35">
      <c r="B139" s="29"/>
      <c r="C139" s="57"/>
    </row>
    <row r="140" spans="2:3" x14ac:dyDescent="0.35">
      <c r="B140" s="29"/>
      <c r="C140" s="57"/>
    </row>
    <row r="141" spans="2:3" x14ac:dyDescent="0.35">
      <c r="B141" s="29"/>
      <c r="C141" s="57"/>
    </row>
    <row r="142" spans="2:3" x14ac:dyDescent="0.35">
      <c r="B142" s="29"/>
      <c r="C142" s="57"/>
    </row>
    <row r="143" spans="2:3" x14ac:dyDescent="0.35">
      <c r="B143" s="29"/>
      <c r="C143" s="57"/>
    </row>
    <row r="144" spans="2:3" x14ac:dyDescent="0.35">
      <c r="B144" s="29"/>
      <c r="C144" s="57"/>
    </row>
    <row r="145" spans="1:9" x14ac:dyDescent="0.35">
      <c r="B145" s="29"/>
      <c r="C145" s="57"/>
    </row>
    <row r="146" spans="1:9" x14ac:dyDescent="0.35">
      <c r="B146" s="29"/>
      <c r="C146" s="57"/>
    </row>
    <row r="147" spans="1:9" x14ac:dyDescent="0.35">
      <c r="B147" s="29"/>
      <c r="C147" s="57"/>
    </row>
    <row r="148" spans="1:9" x14ac:dyDescent="0.35">
      <c r="B148" s="29"/>
      <c r="C148" s="57"/>
    </row>
    <row r="149" spans="1:9" x14ac:dyDescent="0.35">
      <c r="B149" s="29"/>
      <c r="C149" s="57"/>
    </row>
    <row r="150" spans="1:9" x14ac:dyDescent="0.35">
      <c r="B150" s="29"/>
      <c r="C150" s="57"/>
    </row>
    <row r="151" spans="1:9" x14ac:dyDescent="0.35">
      <c r="B151" s="29"/>
      <c r="C151" s="57"/>
    </row>
    <row r="152" spans="1:9" x14ac:dyDescent="0.35">
      <c r="B152" s="29"/>
      <c r="C152" s="57"/>
    </row>
    <row r="153" spans="1:9" x14ac:dyDescent="0.35">
      <c r="B153" s="29"/>
      <c r="C153" s="57"/>
    </row>
    <row r="154" spans="1:9" x14ac:dyDescent="0.35">
      <c r="B154" s="29"/>
      <c r="C154" s="57"/>
    </row>
    <row r="155" spans="1:9" x14ac:dyDescent="0.35">
      <c r="B155" s="29"/>
      <c r="C155" s="57"/>
    </row>
    <row r="156" spans="1:9" x14ac:dyDescent="0.35">
      <c r="B156" s="94" t="s">
        <v>40</v>
      </c>
      <c r="C156" s="57"/>
    </row>
    <row r="157" spans="1:9" x14ac:dyDescent="0.35">
      <c r="B157" s="94" t="s">
        <v>69</v>
      </c>
      <c r="C157" s="57"/>
    </row>
    <row r="158" spans="1:9" x14ac:dyDescent="0.35">
      <c r="B158" s="29"/>
      <c r="C158" s="57"/>
    </row>
    <row r="159" spans="1:9" x14ac:dyDescent="0.35">
      <c r="B159" s="45" t="s">
        <v>70</v>
      </c>
      <c r="C159" s="8" t="s">
        <v>63</v>
      </c>
      <c r="E159" s="8" t="s">
        <v>70</v>
      </c>
      <c r="F159" s="53"/>
      <c r="G159" s="53"/>
      <c r="H159" s="53"/>
      <c r="I159" s="53"/>
    </row>
    <row r="160" spans="1:9" x14ac:dyDescent="0.35">
      <c r="A160" s="50">
        <v>1</v>
      </c>
      <c r="B160" s="22" t="e">
        <f>#REF!</f>
        <v>#REF!</v>
      </c>
      <c r="C160" s="53" t="e">
        <f>VLOOKUP(B160,Competitiors!#REF!,3,FALSE)</f>
        <v>#REF!</v>
      </c>
      <c r="E160" s="46">
        <v>14</v>
      </c>
      <c r="F160" s="53" t="e">
        <f t="shared" ref="F160:I169" si="75">IF($C160=F$4,$E160,0)</f>
        <v>#REF!</v>
      </c>
      <c r="G160" s="53" t="e">
        <f t="shared" si="75"/>
        <v>#REF!</v>
      </c>
      <c r="H160" s="53" t="e">
        <f t="shared" si="75"/>
        <v>#REF!</v>
      </c>
      <c r="I160" s="53" t="e">
        <f t="shared" si="75"/>
        <v>#REF!</v>
      </c>
    </row>
    <row r="161" spans="1:9" x14ac:dyDescent="0.35">
      <c r="A161" s="50">
        <v>2</v>
      </c>
      <c r="B161" s="22" t="e">
        <f>#REF!</f>
        <v>#REF!</v>
      </c>
      <c r="C161" s="53" t="e">
        <f>VLOOKUP(B161,Competitiors!#REF!,3,FALSE)</f>
        <v>#REF!</v>
      </c>
      <c r="E161" s="46">
        <v>11</v>
      </c>
      <c r="F161" s="53" t="e">
        <f t="shared" si="75"/>
        <v>#REF!</v>
      </c>
      <c r="G161" s="53" t="e">
        <f t="shared" si="75"/>
        <v>#REF!</v>
      </c>
      <c r="H161" s="53" t="e">
        <f t="shared" si="75"/>
        <v>#REF!</v>
      </c>
      <c r="I161" s="53" t="e">
        <f t="shared" si="75"/>
        <v>#REF!</v>
      </c>
    </row>
    <row r="162" spans="1:9" x14ac:dyDescent="0.35">
      <c r="A162" s="50">
        <v>3</v>
      </c>
      <c r="B162" s="22" t="e">
        <f>#REF!</f>
        <v>#REF!</v>
      </c>
      <c r="C162" s="53" t="e">
        <f>VLOOKUP(B162,Competitiors!#REF!,3,FALSE)</f>
        <v>#REF!</v>
      </c>
      <c r="E162" s="46">
        <v>9</v>
      </c>
      <c r="F162" s="53" t="e">
        <f t="shared" si="75"/>
        <v>#REF!</v>
      </c>
      <c r="G162" s="53" t="e">
        <f t="shared" si="75"/>
        <v>#REF!</v>
      </c>
      <c r="H162" s="53" t="e">
        <f t="shared" si="75"/>
        <v>#REF!</v>
      </c>
      <c r="I162" s="53" t="e">
        <f t="shared" si="75"/>
        <v>#REF!</v>
      </c>
    </row>
    <row r="163" spans="1:9" x14ac:dyDescent="0.35">
      <c r="A163" s="50">
        <v>4</v>
      </c>
      <c r="B163" s="22" t="e">
        <f>#REF!</f>
        <v>#REF!</v>
      </c>
      <c r="C163" s="53" t="e">
        <f>VLOOKUP(B163,Competitiors!#REF!,3,FALSE)</f>
        <v>#REF!</v>
      </c>
      <c r="E163" s="46">
        <v>7</v>
      </c>
      <c r="F163" s="53" t="e">
        <f t="shared" si="75"/>
        <v>#REF!</v>
      </c>
      <c r="G163" s="53" t="e">
        <f t="shared" si="75"/>
        <v>#REF!</v>
      </c>
      <c r="H163" s="53" t="e">
        <f t="shared" si="75"/>
        <v>#REF!</v>
      </c>
      <c r="I163" s="53" t="e">
        <f t="shared" si="75"/>
        <v>#REF!</v>
      </c>
    </row>
    <row r="164" spans="1:9" x14ac:dyDescent="0.35">
      <c r="A164" s="50">
        <v>5</v>
      </c>
      <c r="B164" s="22" t="e">
        <f>#REF!</f>
        <v>#REF!</v>
      </c>
      <c r="C164" s="53" t="e">
        <f>VLOOKUP(B164,Competitiors!#REF!,3,FALSE)</f>
        <v>#REF!</v>
      </c>
      <c r="E164" s="46">
        <v>6</v>
      </c>
      <c r="F164" s="53" t="e">
        <f t="shared" si="75"/>
        <v>#REF!</v>
      </c>
      <c r="G164" s="53" t="e">
        <f t="shared" si="75"/>
        <v>#REF!</v>
      </c>
      <c r="H164" s="53" t="e">
        <f t="shared" si="75"/>
        <v>#REF!</v>
      </c>
      <c r="I164" s="53" t="e">
        <f t="shared" si="75"/>
        <v>#REF!</v>
      </c>
    </row>
    <row r="165" spans="1:9" x14ac:dyDescent="0.35">
      <c r="A165" s="50">
        <v>6</v>
      </c>
      <c r="B165" s="22" t="e">
        <f>#REF!</f>
        <v>#REF!</v>
      </c>
      <c r="C165" s="53" t="e">
        <f>VLOOKUP(B165,Competitiors!#REF!,3,FALSE)</f>
        <v>#REF!</v>
      </c>
      <c r="E165" s="46">
        <v>5</v>
      </c>
      <c r="F165" s="53" t="e">
        <f t="shared" si="75"/>
        <v>#REF!</v>
      </c>
      <c r="G165" s="53" t="e">
        <f t="shared" si="75"/>
        <v>#REF!</v>
      </c>
      <c r="H165" s="53" t="e">
        <f t="shared" si="75"/>
        <v>#REF!</v>
      </c>
      <c r="I165" s="53" t="e">
        <f t="shared" si="75"/>
        <v>#REF!</v>
      </c>
    </row>
    <row r="166" spans="1:9" x14ac:dyDescent="0.35">
      <c r="A166" s="50">
        <v>7</v>
      </c>
      <c r="B166" s="22" t="e">
        <f>#REF!</f>
        <v>#REF!</v>
      </c>
      <c r="C166" s="53" t="e">
        <f>VLOOKUP(B166,Competitiors!#REF!,3,FALSE)</f>
        <v>#REF!</v>
      </c>
      <c r="E166" s="46">
        <v>4</v>
      </c>
      <c r="F166" s="53" t="e">
        <f t="shared" si="75"/>
        <v>#REF!</v>
      </c>
      <c r="G166" s="53" t="e">
        <f t="shared" si="75"/>
        <v>#REF!</v>
      </c>
      <c r="H166" s="53" t="e">
        <f t="shared" si="75"/>
        <v>#REF!</v>
      </c>
      <c r="I166" s="53" t="e">
        <f t="shared" si="75"/>
        <v>#REF!</v>
      </c>
    </row>
    <row r="167" spans="1:9" x14ac:dyDescent="0.35">
      <c r="A167" s="50">
        <v>8</v>
      </c>
      <c r="B167" s="22" t="e">
        <f>#REF!</f>
        <v>#REF!</v>
      </c>
      <c r="C167" s="53" t="e">
        <f>VLOOKUP(B167,Competitiors!#REF!,3,FALSE)</f>
        <v>#REF!</v>
      </c>
      <c r="E167" s="46">
        <v>3</v>
      </c>
      <c r="F167" s="53" t="e">
        <f t="shared" si="75"/>
        <v>#REF!</v>
      </c>
      <c r="G167" s="53" t="e">
        <f t="shared" si="75"/>
        <v>#REF!</v>
      </c>
      <c r="H167" s="53" t="e">
        <f t="shared" si="75"/>
        <v>#REF!</v>
      </c>
      <c r="I167" s="53" t="e">
        <f t="shared" si="75"/>
        <v>#REF!</v>
      </c>
    </row>
    <row r="168" spans="1:9" x14ac:dyDescent="0.35">
      <c r="A168" s="50">
        <v>9</v>
      </c>
      <c r="B168" s="22" t="e">
        <f>#REF!</f>
        <v>#REF!</v>
      </c>
      <c r="C168" s="53" t="e">
        <f>VLOOKUP(B168,Competitiors!#REF!,3,FALSE)</f>
        <v>#REF!</v>
      </c>
      <c r="E168" s="46">
        <v>2</v>
      </c>
      <c r="F168" s="53" t="e">
        <f t="shared" si="75"/>
        <v>#REF!</v>
      </c>
      <c r="G168" s="53" t="e">
        <f t="shared" si="75"/>
        <v>#REF!</v>
      </c>
      <c r="H168" s="53" t="e">
        <f t="shared" si="75"/>
        <v>#REF!</v>
      </c>
      <c r="I168" s="53" t="e">
        <f t="shared" si="75"/>
        <v>#REF!</v>
      </c>
    </row>
    <row r="169" spans="1:9" x14ac:dyDescent="0.35">
      <c r="A169" s="50">
        <v>10</v>
      </c>
      <c r="B169" s="22" t="e">
        <f>#REF!</f>
        <v>#REF!</v>
      </c>
      <c r="C169" s="53" t="e">
        <f>VLOOKUP(B169,Competitiors!#REF!,3,FALSE)</f>
        <v>#REF!</v>
      </c>
      <c r="E169" s="46">
        <v>1</v>
      </c>
      <c r="F169" s="53" t="e">
        <f t="shared" si="75"/>
        <v>#REF!</v>
      </c>
      <c r="G169" s="53" t="e">
        <f t="shared" si="75"/>
        <v>#REF!</v>
      </c>
      <c r="H169" s="53" t="e">
        <f t="shared" si="75"/>
        <v>#REF!</v>
      </c>
      <c r="I169" s="53" t="e">
        <f t="shared" si="75"/>
        <v>#REF!</v>
      </c>
    </row>
    <row r="170" spans="1:9" x14ac:dyDescent="0.35">
      <c r="A170" s="50">
        <v>11</v>
      </c>
      <c r="B170" s="22" t="e">
        <f>#REF!</f>
        <v>#REF!</v>
      </c>
      <c r="C170" s="53" t="e">
        <f>VLOOKUP(B170,Competitiors!#REF!,3,FALSE)</f>
        <v>#REF!</v>
      </c>
      <c r="E170" s="46"/>
      <c r="F170" s="53"/>
      <c r="G170" s="53"/>
      <c r="H170" s="53"/>
      <c r="I170" s="53"/>
    </row>
    <row r="171" spans="1:9" x14ac:dyDescent="0.35">
      <c r="B171" s="29"/>
      <c r="C171" s="57"/>
    </row>
    <row r="172" spans="1:9" x14ac:dyDescent="0.35">
      <c r="B172" s="45" t="s">
        <v>71</v>
      </c>
      <c r="C172" s="8" t="s">
        <v>63</v>
      </c>
      <c r="E172" s="8" t="s">
        <v>71</v>
      </c>
      <c r="F172" s="53"/>
      <c r="G172" s="53"/>
      <c r="H172" s="53"/>
      <c r="I172" s="53"/>
    </row>
    <row r="173" spans="1:9" x14ac:dyDescent="0.35">
      <c r="A173" s="50">
        <v>1</v>
      </c>
      <c r="B173" s="22" t="e">
        <f>#REF!</f>
        <v>#REF!</v>
      </c>
      <c r="C173" s="53" t="e">
        <f>VLOOKUP(B173,Competitiors!#REF!,3,FALSE)</f>
        <v>#REF!</v>
      </c>
      <c r="E173" s="46">
        <v>14</v>
      </c>
      <c r="F173" s="53" t="e">
        <f t="shared" ref="F173:I182" si="76">IF($C173=F$4,$E173,0)</f>
        <v>#REF!</v>
      </c>
      <c r="G173" s="53" t="e">
        <f t="shared" si="76"/>
        <v>#REF!</v>
      </c>
      <c r="H173" s="53" t="e">
        <f t="shared" si="76"/>
        <v>#REF!</v>
      </c>
      <c r="I173" s="53" t="e">
        <f t="shared" si="76"/>
        <v>#REF!</v>
      </c>
    </row>
    <row r="174" spans="1:9" x14ac:dyDescent="0.35">
      <c r="A174" s="50">
        <v>2</v>
      </c>
      <c r="B174" s="22" t="e">
        <f>#REF!</f>
        <v>#REF!</v>
      </c>
      <c r="C174" s="53" t="e">
        <f>VLOOKUP(B174,Competitiors!#REF!,3,FALSE)</f>
        <v>#REF!</v>
      </c>
      <c r="E174" s="46">
        <v>11</v>
      </c>
      <c r="F174" s="53" t="e">
        <f t="shared" si="76"/>
        <v>#REF!</v>
      </c>
      <c r="G174" s="53" t="e">
        <f t="shared" si="76"/>
        <v>#REF!</v>
      </c>
      <c r="H174" s="53" t="e">
        <f t="shared" si="76"/>
        <v>#REF!</v>
      </c>
      <c r="I174" s="53" t="e">
        <f t="shared" si="76"/>
        <v>#REF!</v>
      </c>
    </row>
    <row r="175" spans="1:9" x14ac:dyDescent="0.35">
      <c r="A175" s="50">
        <v>3</v>
      </c>
      <c r="B175" s="22" t="e">
        <f>#REF!</f>
        <v>#REF!</v>
      </c>
      <c r="C175" s="53" t="e">
        <f>VLOOKUP(B175,Competitiors!#REF!,3,FALSE)</f>
        <v>#REF!</v>
      </c>
      <c r="E175" s="46">
        <v>9</v>
      </c>
      <c r="F175" s="53" t="e">
        <f t="shared" si="76"/>
        <v>#REF!</v>
      </c>
      <c r="G175" s="53" t="e">
        <f t="shared" si="76"/>
        <v>#REF!</v>
      </c>
      <c r="H175" s="53" t="e">
        <f t="shared" si="76"/>
        <v>#REF!</v>
      </c>
      <c r="I175" s="53" t="e">
        <f t="shared" si="76"/>
        <v>#REF!</v>
      </c>
    </row>
    <row r="176" spans="1:9" x14ac:dyDescent="0.35">
      <c r="A176" s="50">
        <v>4</v>
      </c>
      <c r="B176" s="22" t="e">
        <f>#REF!</f>
        <v>#REF!</v>
      </c>
      <c r="C176" s="53" t="e">
        <f>VLOOKUP(B176,Competitiors!#REF!,3,FALSE)</f>
        <v>#REF!</v>
      </c>
      <c r="E176" s="46">
        <v>7</v>
      </c>
      <c r="F176" s="53" t="e">
        <f t="shared" si="76"/>
        <v>#REF!</v>
      </c>
      <c r="G176" s="53" t="e">
        <f t="shared" si="76"/>
        <v>#REF!</v>
      </c>
      <c r="H176" s="53" t="e">
        <f t="shared" si="76"/>
        <v>#REF!</v>
      </c>
      <c r="I176" s="53" t="e">
        <f t="shared" si="76"/>
        <v>#REF!</v>
      </c>
    </row>
    <row r="177" spans="1:15" x14ac:dyDescent="0.35">
      <c r="A177" s="50">
        <v>5</v>
      </c>
      <c r="B177" s="22" t="e">
        <f>#REF!</f>
        <v>#REF!</v>
      </c>
      <c r="C177" s="53" t="e">
        <f>VLOOKUP(B177,Competitiors!#REF!,3,FALSE)</f>
        <v>#REF!</v>
      </c>
      <c r="E177" s="46">
        <v>6</v>
      </c>
      <c r="F177" s="53" t="e">
        <f t="shared" si="76"/>
        <v>#REF!</v>
      </c>
      <c r="G177" s="53" t="e">
        <f t="shared" si="76"/>
        <v>#REF!</v>
      </c>
      <c r="H177" s="53" t="e">
        <f t="shared" si="76"/>
        <v>#REF!</v>
      </c>
      <c r="I177" s="53" t="e">
        <f t="shared" si="76"/>
        <v>#REF!</v>
      </c>
    </row>
    <row r="178" spans="1:15" x14ac:dyDescent="0.35">
      <c r="A178" s="50">
        <v>6</v>
      </c>
      <c r="B178" s="22" t="e">
        <f>#REF!</f>
        <v>#REF!</v>
      </c>
      <c r="C178" s="53" t="e">
        <f>VLOOKUP(B178,Competitiors!#REF!,3,FALSE)</f>
        <v>#REF!</v>
      </c>
      <c r="E178" s="46">
        <v>5</v>
      </c>
      <c r="F178" s="53" t="e">
        <f t="shared" si="76"/>
        <v>#REF!</v>
      </c>
      <c r="G178" s="53" t="e">
        <f t="shared" si="76"/>
        <v>#REF!</v>
      </c>
      <c r="H178" s="53" t="e">
        <f t="shared" si="76"/>
        <v>#REF!</v>
      </c>
      <c r="I178" s="53" t="e">
        <f t="shared" si="76"/>
        <v>#REF!</v>
      </c>
    </row>
    <row r="179" spans="1:15" x14ac:dyDescent="0.35">
      <c r="A179" s="50">
        <v>7</v>
      </c>
      <c r="B179" s="22" t="e">
        <f>#REF!</f>
        <v>#REF!</v>
      </c>
      <c r="C179" s="53" t="e">
        <f>VLOOKUP(B179,Competitiors!#REF!,3,FALSE)</f>
        <v>#REF!</v>
      </c>
      <c r="E179" s="46">
        <v>4</v>
      </c>
      <c r="F179" s="53" t="e">
        <f t="shared" si="76"/>
        <v>#REF!</v>
      </c>
      <c r="G179" s="53" t="e">
        <f t="shared" si="76"/>
        <v>#REF!</v>
      </c>
      <c r="H179" s="53" t="e">
        <f t="shared" si="76"/>
        <v>#REF!</v>
      </c>
      <c r="I179" s="53" t="e">
        <f t="shared" si="76"/>
        <v>#REF!</v>
      </c>
    </row>
    <row r="180" spans="1:15" x14ac:dyDescent="0.35">
      <c r="A180" s="50">
        <v>8</v>
      </c>
      <c r="B180" s="22" t="e">
        <f>#REF!</f>
        <v>#REF!</v>
      </c>
      <c r="C180" s="53" t="e">
        <f>VLOOKUP(B180,Competitiors!#REF!,3,FALSE)</f>
        <v>#REF!</v>
      </c>
      <c r="E180" s="46">
        <v>3</v>
      </c>
      <c r="F180" s="53" t="e">
        <f t="shared" si="76"/>
        <v>#REF!</v>
      </c>
      <c r="G180" s="53" t="e">
        <f t="shared" si="76"/>
        <v>#REF!</v>
      </c>
      <c r="H180" s="53" t="e">
        <f t="shared" si="76"/>
        <v>#REF!</v>
      </c>
      <c r="I180" s="53" t="e">
        <f t="shared" si="76"/>
        <v>#REF!</v>
      </c>
    </row>
    <row r="181" spans="1:15" x14ac:dyDescent="0.35">
      <c r="A181" s="50">
        <v>9</v>
      </c>
      <c r="B181" s="22" t="e">
        <f>#REF!</f>
        <v>#REF!</v>
      </c>
      <c r="C181" s="53" t="e">
        <f>VLOOKUP(B181,Competitiors!#REF!,3,FALSE)</f>
        <v>#REF!</v>
      </c>
      <c r="E181" s="46">
        <v>2</v>
      </c>
      <c r="F181" s="53" t="e">
        <f t="shared" si="76"/>
        <v>#REF!</v>
      </c>
      <c r="G181" s="53" t="e">
        <f t="shared" si="76"/>
        <v>#REF!</v>
      </c>
      <c r="H181" s="53" t="e">
        <f t="shared" si="76"/>
        <v>#REF!</v>
      </c>
      <c r="I181" s="53" t="e">
        <f t="shared" si="76"/>
        <v>#REF!</v>
      </c>
    </row>
    <row r="182" spans="1:15" x14ac:dyDescent="0.35">
      <c r="A182" s="50">
        <v>10</v>
      </c>
      <c r="B182" s="22" t="e">
        <f>#REF!</f>
        <v>#REF!</v>
      </c>
      <c r="C182" s="53" t="e">
        <f>VLOOKUP(B182,Competitiors!#REF!,3,FALSE)</f>
        <v>#REF!</v>
      </c>
      <c r="E182" s="46">
        <v>1</v>
      </c>
      <c r="F182" s="53" t="e">
        <f t="shared" si="76"/>
        <v>#REF!</v>
      </c>
      <c r="G182" s="53" t="e">
        <f t="shared" si="76"/>
        <v>#REF!</v>
      </c>
      <c r="H182" s="53" t="e">
        <f t="shared" si="76"/>
        <v>#REF!</v>
      </c>
      <c r="I182" s="53" t="e">
        <f t="shared" si="76"/>
        <v>#REF!</v>
      </c>
    </row>
    <row r="183" spans="1:15" x14ac:dyDescent="0.35">
      <c r="A183" s="50">
        <v>11</v>
      </c>
      <c r="B183" s="22" t="e">
        <f>#REF!</f>
        <v>#REF!</v>
      </c>
      <c r="C183" s="53" t="e">
        <f>VLOOKUP(B183,Competitiors!#REF!,3,FALSE)</f>
        <v>#REF!</v>
      </c>
      <c r="E183" s="46"/>
      <c r="F183" s="53"/>
      <c r="G183" s="53"/>
      <c r="H183" s="53"/>
      <c r="I183" s="53"/>
    </row>
    <row r="184" spans="1:15" x14ac:dyDescent="0.35">
      <c r="B184" s="29"/>
      <c r="C184" s="57"/>
    </row>
    <row r="185" spans="1:15" x14ac:dyDescent="0.35">
      <c r="B185" s="45" t="s">
        <v>72</v>
      </c>
      <c r="C185" s="8" t="s">
        <v>63</v>
      </c>
      <c r="K185" s="8" t="s">
        <v>72</v>
      </c>
      <c r="L185" s="53"/>
      <c r="M185" s="53"/>
      <c r="N185" s="53"/>
      <c r="O185" s="53"/>
    </row>
    <row r="186" spans="1:15" x14ac:dyDescent="0.35">
      <c r="A186" s="50">
        <v>1</v>
      </c>
      <c r="B186" s="22" t="e">
        <f>#REF!</f>
        <v>#REF!</v>
      </c>
      <c r="C186" s="53" t="e">
        <f>VLOOKUP(B186,#REF!,3,FALSE)</f>
        <v>#REF!</v>
      </c>
      <c r="K186" s="46">
        <v>14</v>
      </c>
      <c r="L186" s="53" t="e">
        <f t="shared" ref="L186:O190" si="77">IF($C186=L$18,$K186,0)</f>
        <v>#REF!</v>
      </c>
      <c r="M186" s="53" t="e">
        <f t="shared" si="77"/>
        <v>#REF!</v>
      </c>
      <c r="N186" s="53" t="e">
        <f t="shared" si="77"/>
        <v>#REF!</v>
      </c>
      <c r="O186" s="53" t="e">
        <f t="shared" si="77"/>
        <v>#REF!</v>
      </c>
    </row>
    <row r="187" spans="1:15" x14ac:dyDescent="0.35">
      <c r="A187" s="50">
        <v>2</v>
      </c>
      <c r="B187" s="22" t="e">
        <f>#REF!</f>
        <v>#REF!</v>
      </c>
      <c r="C187" s="53" t="e">
        <f>VLOOKUP(B187,#REF!,3,FALSE)</f>
        <v>#REF!</v>
      </c>
      <c r="K187" s="46">
        <v>11</v>
      </c>
      <c r="L187" s="53" t="e">
        <f t="shared" si="77"/>
        <v>#REF!</v>
      </c>
      <c r="M187" s="53" t="e">
        <f t="shared" si="77"/>
        <v>#REF!</v>
      </c>
      <c r="N187" s="53" t="e">
        <f t="shared" si="77"/>
        <v>#REF!</v>
      </c>
      <c r="O187" s="53" t="e">
        <f t="shared" si="77"/>
        <v>#REF!</v>
      </c>
    </row>
    <row r="188" spans="1:15" x14ac:dyDescent="0.35">
      <c r="A188" s="50">
        <v>3</v>
      </c>
      <c r="B188" s="22" t="e">
        <f>#REF!</f>
        <v>#REF!</v>
      </c>
      <c r="C188" s="53" t="e">
        <f>VLOOKUP(B188,#REF!,3,FALSE)</f>
        <v>#REF!</v>
      </c>
      <c r="K188" s="46">
        <v>11</v>
      </c>
      <c r="L188" s="53" t="e">
        <f t="shared" si="77"/>
        <v>#REF!</v>
      </c>
      <c r="M188" s="53" t="e">
        <f t="shared" si="77"/>
        <v>#REF!</v>
      </c>
      <c r="N188" s="53" t="e">
        <f t="shared" si="77"/>
        <v>#REF!</v>
      </c>
      <c r="O188" s="53" t="e">
        <f t="shared" si="77"/>
        <v>#REF!</v>
      </c>
    </row>
    <row r="189" spans="1:15" x14ac:dyDescent="0.35">
      <c r="A189" s="50">
        <v>4</v>
      </c>
      <c r="B189" s="22" t="e">
        <f>#REF!</f>
        <v>#REF!</v>
      </c>
      <c r="C189" s="53" t="e">
        <f>VLOOKUP(B189,#REF!,3,FALSE)</f>
        <v>#REF!</v>
      </c>
      <c r="K189" s="46">
        <v>7</v>
      </c>
      <c r="L189" s="53" t="e">
        <f t="shared" si="77"/>
        <v>#REF!</v>
      </c>
      <c r="M189" s="53" t="e">
        <f t="shared" si="77"/>
        <v>#REF!</v>
      </c>
      <c r="N189" s="53" t="e">
        <f t="shared" si="77"/>
        <v>#REF!</v>
      </c>
      <c r="O189" s="53" t="e">
        <f t="shared" si="77"/>
        <v>#REF!</v>
      </c>
    </row>
    <row r="190" spans="1:15" x14ac:dyDescent="0.35">
      <c r="A190" s="50">
        <v>5</v>
      </c>
      <c r="B190" s="22" t="e">
        <f>#REF!</f>
        <v>#REF!</v>
      </c>
      <c r="C190" s="53" t="e">
        <f>VLOOKUP(B190,#REF!,3,FALSE)</f>
        <v>#REF!</v>
      </c>
      <c r="K190" s="46">
        <v>6</v>
      </c>
      <c r="L190" s="53" t="e">
        <f t="shared" si="77"/>
        <v>#REF!</v>
      </c>
      <c r="M190" s="53" t="e">
        <f t="shared" si="77"/>
        <v>#REF!</v>
      </c>
      <c r="N190" s="53" t="e">
        <f t="shared" si="77"/>
        <v>#REF!</v>
      </c>
      <c r="O190" s="53" t="e">
        <f t="shared" si="77"/>
        <v>#REF!</v>
      </c>
    </row>
    <row r="191" spans="1:15" x14ac:dyDescent="0.35">
      <c r="B191" s="29"/>
      <c r="C191" s="57"/>
    </row>
    <row r="192" spans="1:15" x14ac:dyDescent="0.35">
      <c r="B192" s="45" t="s">
        <v>73</v>
      </c>
      <c r="C192" s="8" t="s">
        <v>63</v>
      </c>
      <c r="K192" s="8" t="s">
        <v>73</v>
      </c>
      <c r="L192" s="53"/>
      <c r="M192" s="53"/>
      <c r="N192" s="53"/>
      <c r="O192" s="53"/>
    </row>
    <row r="193" spans="1:15" x14ac:dyDescent="0.35">
      <c r="A193" s="50">
        <v>1</v>
      </c>
      <c r="B193" s="53" t="e">
        <f>#REF!</f>
        <v>#REF!</v>
      </c>
      <c r="C193" s="53" t="e">
        <f>VLOOKUP(B193,#REF!,3,FALSE)</f>
        <v>#REF!</v>
      </c>
      <c r="K193" s="46">
        <v>14</v>
      </c>
      <c r="L193" s="53" t="e">
        <f t="shared" ref="L193:O196" si="78">IF($C193=L$18,$K193,0)</f>
        <v>#REF!</v>
      </c>
      <c r="M193" s="53" t="e">
        <f t="shared" si="78"/>
        <v>#REF!</v>
      </c>
      <c r="N193" s="53" t="e">
        <f t="shared" si="78"/>
        <v>#REF!</v>
      </c>
      <c r="O193" s="53" t="e">
        <f t="shared" si="78"/>
        <v>#REF!</v>
      </c>
    </row>
    <row r="194" spans="1:15" x14ac:dyDescent="0.35">
      <c r="A194" s="50">
        <v>2</v>
      </c>
      <c r="B194" s="53" t="e">
        <f>#REF!</f>
        <v>#REF!</v>
      </c>
      <c r="C194" s="53" t="e">
        <f>VLOOKUP(B194,#REF!,3,FALSE)</f>
        <v>#REF!</v>
      </c>
      <c r="K194" s="46">
        <v>11</v>
      </c>
      <c r="L194" s="53" t="e">
        <f t="shared" si="78"/>
        <v>#REF!</v>
      </c>
      <c r="M194" s="53" t="e">
        <f t="shared" si="78"/>
        <v>#REF!</v>
      </c>
      <c r="N194" s="53" t="e">
        <f t="shared" si="78"/>
        <v>#REF!</v>
      </c>
      <c r="O194" s="53" t="e">
        <f t="shared" si="78"/>
        <v>#REF!</v>
      </c>
    </row>
    <row r="195" spans="1:15" x14ac:dyDescent="0.35">
      <c r="A195" s="50">
        <v>3</v>
      </c>
      <c r="B195" s="53" t="e">
        <f>#REF!</f>
        <v>#REF!</v>
      </c>
      <c r="C195" s="53" t="e">
        <f>VLOOKUP(B195,#REF!,3,FALSE)</f>
        <v>#REF!</v>
      </c>
      <c r="K195" s="46">
        <v>9</v>
      </c>
      <c r="L195" s="53" t="e">
        <f t="shared" si="78"/>
        <v>#REF!</v>
      </c>
      <c r="M195" s="53" t="e">
        <f t="shared" si="78"/>
        <v>#REF!</v>
      </c>
      <c r="N195" s="53" t="e">
        <f t="shared" si="78"/>
        <v>#REF!</v>
      </c>
      <c r="O195" s="53" t="e">
        <f t="shared" si="78"/>
        <v>#REF!</v>
      </c>
    </row>
    <row r="196" spans="1:15" x14ac:dyDescent="0.35">
      <c r="A196" s="50">
        <v>4</v>
      </c>
      <c r="B196" s="53" t="e">
        <f>#REF!</f>
        <v>#REF!</v>
      </c>
      <c r="C196" s="53" t="e">
        <f>VLOOKUP(B196,#REF!,3,FALSE)</f>
        <v>#REF!</v>
      </c>
      <c r="K196" s="46">
        <v>7</v>
      </c>
      <c r="L196" s="53" t="e">
        <f t="shared" si="78"/>
        <v>#REF!</v>
      </c>
      <c r="M196" s="53" t="e">
        <f t="shared" si="78"/>
        <v>#REF!</v>
      </c>
      <c r="N196" s="53" t="e">
        <f t="shared" si="78"/>
        <v>#REF!</v>
      </c>
      <c r="O196" s="53" t="e">
        <f t="shared" si="78"/>
        <v>#REF!</v>
      </c>
    </row>
    <row r="197" spans="1:15" x14ac:dyDescent="0.35">
      <c r="B197" s="57"/>
      <c r="C197" s="57"/>
    </row>
    <row r="198" spans="1:15" x14ac:dyDescent="0.35">
      <c r="B198" s="29"/>
      <c r="C198" s="57"/>
    </row>
    <row r="199" spans="1:15" x14ac:dyDescent="0.35">
      <c r="B199" s="4" t="s">
        <v>40</v>
      </c>
    </row>
    <row r="200" spans="1:15" x14ac:dyDescent="0.35">
      <c r="B200" s="95" t="s">
        <v>39</v>
      </c>
      <c r="C200" s="13"/>
    </row>
    <row r="201" spans="1:15" x14ac:dyDescent="0.35">
      <c r="B201" s="13"/>
      <c r="C201" s="13"/>
    </row>
    <row r="202" spans="1:15" x14ac:dyDescent="0.35">
      <c r="B202" s="96" t="s">
        <v>64</v>
      </c>
      <c r="C202" s="8" t="s">
        <v>63</v>
      </c>
      <c r="E202" s="97" t="s">
        <v>64</v>
      </c>
      <c r="F202" s="53"/>
      <c r="G202" s="53"/>
      <c r="H202" s="53"/>
      <c r="I202" s="53"/>
    </row>
    <row r="203" spans="1:15" x14ac:dyDescent="0.35">
      <c r="A203" s="50">
        <v>1</v>
      </c>
      <c r="B203" s="31" t="str">
        <f>Duets!B13</f>
        <v>Siphokazi Myende</v>
      </c>
      <c r="C203" s="31" t="e">
        <f>VLOOKUP(B203,Competitiors!#REF!,3,FALSE)</f>
        <v>#REF!</v>
      </c>
      <c r="E203" s="46">
        <v>14</v>
      </c>
      <c r="F203" s="53" t="e">
        <f>IF($C203=F$4,$E203,0)</f>
        <v>#REF!</v>
      </c>
      <c r="G203" s="53" t="e">
        <f>IF($C203=G$4,$E203,0)</f>
        <v>#REF!</v>
      </c>
      <c r="H203" s="53" t="e">
        <f>IF($C203=H$4,$E203,0)</f>
        <v>#REF!</v>
      </c>
      <c r="I203" s="53" t="e">
        <f>IF($C203=I$4,$E203,0)</f>
        <v>#REF!</v>
      </c>
    </row>
    <row r="204" spans="1:15" x14ac:dyDescent="0.35">
      <c r="B204" s="30" t="str">
        <f>Duets!B14</f>
        <v>Philiswe Kunene</v>
      </c>
      <c r="C204" s="30" t="e">
        <f>VLOOKUP(B204,Competitiors!#REF!,3,FALSE)</f>
        <v>#REF!</v>
      </c>
      <c r="E204" s="46"/>
      <c r="F204" s="53"/>
      <c r="G204" s="53"/>
      <c r="H204" s="53"/>
      <c r="I204" s="53"/>
    </row>
    <row r="205" spans="1:15" x14ac:dyDescent="0.35">
      <c r="A205" s="50">
        <v>2</v>
      </c>
      <c r="B205" s="31" t="str">
        <f>Duets!B15</f>
        <v>Kathleen Jarvis</v>
      </c>
      <c r="C205" s="31" t="e">
        <f>VLOOKUP(B205,Competitiors!#REF!,3,FALSE)</f>
        <v>#REF!</v>
      </c>
      <c r="E205" s="46">
        <v>11</v>
      </c>
      <c r="F205" s="53" t="e">
        <f>IF($C205=F$4,$E205,0)</f>
        <v>#REF!</v>
      </c>
      <c r="G205" s="53" t="e">
        <f>IF($C205=G$4,$E205,0)</f>
        <v>#REF!</v>
      </c>
      <c r="H205" s="53" t="e">
        <f>IF($C205=H$4,$E205,0)</f>
        <v>#REF!</v>
      </c>
      <c r="I205" s="53" t="e">
        <f>IF($C205=I$4,$E205,0)</f>
        <v>#REF!</v>
      </c>
    </row>
    <row r="206" spans="1:15" x14ac:dyDescent="0.35">
      <c r="B206" s="30" t="str">
        <f>Duets!B16</f>
        <v>Jessica McCarthy</v>
      </c>
      <c r="C206" s="30" t="e">
        <f>VLOOKUP(B206,Competitiors!#REF!,3,FALSE)</f>
        <v>#REF!</v>
      </c>
      <c r="E206" s="46"/>
      <c r="F206" s="53"/>
      <c r="G206" s="53"/>
      <c r="H206" s="53"/>
      <c r="I206" s="53"/>
    </row>
    <row r="207" spans="1:15" x14ac:dyDescent="0.35">
      <c r="A207" s="50">
        <v>3</v>
      </c>
      <c r="B207" s="31" t="str">
        <f>Duets!B17</f>
        <v>Dina Simpson</v>
      </c>
      <c r="C207" s="31" t="e">
        <f>VLOOKUP(B207,Competitiors!#REF!,3,FALSE)</f>
        <v>#REF!</v>
      </c>
      <c r="E207" s="46">
        <v>9</v>
      </c>
      <c r="F207" s="53" t="e">
        <f>IF($C207=F$4,$E207,0)</f>
        <v>#REF!</v>
      </c>
      <c r="G207" s="53" t="e">
        <f>IF($C207=G$4,$E207,0)</f>
        <v>#REF!</v>
      </c>
      <c r="H207" s="53" t="e">
        <f>IF($C207=H$4,$E207,0)</f>
        <v>#REF!</v>
      </c>
      <c r="I207" s="53" t="e">
        <f>IF($C207=I$4,$E207,0)</f>
        <v>#REF!</v>
      </c>
    </row>
    <row r="208" spans="1:15" x14ac:dyDescent="0.35">
      <c r="B208" s="30" t="str">
        <f>Duets!B18</f>
        <v>Kaela Simpson</v>
      </c>
      <c r="C208" s="30" t="e">
        <f>VLOOKUP(B208,Competitiors!#REF!,3,FALSE)</f>
        <v>#REF!</v>
      </c>
      <c r="E208" s="46"/>
      <c r="F208" s="53"/>
      <c r="G208" s="53"/>
      <c r="H208" s="53"/>
      <c r="I208" s="53"/>
    </row>
    <row r="209" spans="1:9" x14ac:dyDescent="0.35">
      <c r="A209" s="50">
        <v>4</v>
      </c>
      <c r="B209" s="31" t="str">
        <f>Duets!B19</f>
        <v>Ntokozo Phungula</v>
      </c>
      <c r="C209" s="31" t="e">
        <f>VLOOKUP(B209,Competitiors!#REF!,3,FALSE)</f>
        <v>#REF!</v>
      </c>
      <c r="E209" s="46">
        <v>7</v>
      </c>
      <c r="F209" s="53" t="e">
        <f>IF($C209=F$4,$E209,0)</f>
        <v>#REF!</v>
      </c>
      <c r="G209" s="53" t="e">
        <f>IF($C209=G$4,$E209,0)</f>
        <v>#REF!</v>
      </c>
      <c r="H209" s="53" t="e">
        <f>IF($C209=H$4,$E209,0)</f>
        <v>#REF!</v>
      </c>
      <c r="I209" s="53" t="e">
        <f>IF($C209=I$4,$E209,0)</f>
        <v>#REF!</v>
      </c>
    </row>
    <row r="210" spans="1:9" x14ac:dyDescent="0.35">
      <c r="B210" s="30" t="str">
        <f>Duets!B20</f>
        <v>Asanda Nhlamgulela</v>
      </c>
      <c r="C210" s="30" t="e">
        <f>VLOOKUP(B210,Competitiors!#REF!,3,FALSE)</f>
        <v>#REF!</v>
      </c>
      <c r="E210" s="46"/>
      <c r="F210" s="53"/>
      <c r="G210" s="53"/>
      <c r="H210" s="53"/>
      <c r="I210" s="53"/>
    </row>
    <row r="211" spans="1:9" x14ac:dyDescent="0.35">
      <c r="A211" s="50">
        <v>5</v>
      </c>
      <c r="B211" s="31" t="e">
        <f>Duets!#REF!</f>
        <v>#REF!</v>
      </c>
      <c r="C211" s="31" t="e">
        <f>VLOOKUP(B211,Competitiors!#REF!,3,FALSE)</f>
        <v>#REF!</v>
      </c>
      <c r="E211" s="46">
        <v>6</v>
      </c>
      <c r="F211" s="53" t="e">
        <f>IF($C211=F$4,$E211,0)</f>
        <v>#REF!</v>
      </c>
      <c r="G211" s="53" t="e">
        <f>IF($C211=G$4,$E211,0)</f>
        <v>#REF!</v>
      </c>
      <c r="H211" s="53" t="e">
        <f>IF($C211=H$4,$E211,0)</f>
        <v>#REF!</v>
      </c>
      <c r="I211" s="53" t="e">
        <f>IF($C211=I$4,$E211,0)</f>
        <v>#REF!</v>
      </c>
    </row>
    <row r="212" spans="1:9" x14ac:dyDescent="0.35">
      <c r="B212" s="30" t="e">
        <f>Duets!#REF!</f>
        <v>#REF!</v>
      </c>
      <c r="C212" s="30" t="e">
        <f>VLOOKUP(B212,Competitiors!#REF!,3,FALSE)</f>
        <v>#REF!</v>
      </c>
      <c r="E212" s="46"/>
      <c r="F212" s="53"/>
      <c r="G212" s="53"/>
      <c r="H212" s="53"/>
      <c r="I212" s="53"/>
    </row>
    <row r="213" spans="1:9" x14ac:dyDescent="0.35">
      <c r="A213" s="50">
        <v>6</v>
      </c>
      <c r="B213" s="31" t="e">
        <f>Duets!#REF!</f>
        <v>#REF!</v>
      </c>
      <c r="C213" s="31" t="e">
        <f>VLOOKUP(B213,Competitiors!#REF!,3,FALSE)</f>
        <v>#REF!</v>
      </c>
      <c r="E213" s="53">
        <v>5</v>
      </c>
      <c r="F213" s="53" t="e">
        <f>IF($C213=F$4,$E213,0)</f>
        <v>#REF!</v>
      </c>
      <c r="G213" s="53" t="e">
        <f>IF($C213=G$4,$E213,0)</f>
        <v>#REF!</v>
      </c>
      <c r="H213" s="53" t="e">
        <f>IF($C213=H$4,$E213,0)</f>
        <v>#REF!</v>
      </c>
      <c r="I213" s="53" t="e">
        <f>IF($C213=I$4,$E213,0)</f>
        <v>#REF!</v>
      </c>
    </row>
    <row r="214" spans="1:9" x14ac:dyDescent="0.35">
      <c r="B214" s="30" t="e">
        <f>Duets!#REF!</f>
        <v>#REF!</v>
      </c>
      <c r="C214" s="30" t="e">
        <f>VLOOKUP(B214,Competitiors!#REF!,3,FALSE)</f>
        <v>#REF!</v>
      </c>
      <c r="E214" s="53"/>
      <c r="F214" s="53"/>
      <c r="G214" s="53"/>
      <c r="H214" s="53"/>
      <c r="I214" s="53"/>
    </row>
    <row r="215" spans="1:9" x14ac:dyDescent="0.35">
      <c r="B215" s="13"/>
      <c r="C215" s="13"/>
    </row>
    <row r="216" spans="1:9" x14ac:dyDescent="0.35">
      <c r="B216" s="96" t="s">
        <v>66</v>
      </c>
      <c r="C216" s="8" t="s">
        <v>63</v>
      </c>
      <c r="E216" s="97" t="s">
        <v>66</v>
      </c>
      <c r="F216" s="53"/>
      <c r="G216" s="53"/>
      <c r="H216" s="53"/>
      <c r="I216" s="53"/>
    </row>
    <row r="217" spans="1:9" x14ac:dyDescent="0.35">
      <c r="A217" s="50">
        <v>1</v>
      </c>
      <c r="B217" s="31" t="e">
        <f>#REF!</f>
        <v>#REF!</v>
      </c>
      <c r="C217" s="31" t="e">
        <f>VLOOKUP(B217,Competitiors!#REF!,3,FALSE)</f>
        <v>#REF!</v>
      </c>
      <c r="E217" s="46">
        <v>14</v>
      </c>
      <c r="F217" s="53" t="e">
        <f>IF($C217=F$4,$E217,0)</f>
        <v>#REF!</v>
      </c>
      <c r="G217" s="53" t="e">
        <f>IF($C217=G$4,$E217,0)</f>
        <v>#REF!</v>
      </c>
      <c r="H217" s="53" t="e">
        <f>IF($C217=H$4,$E217,0)</f>
        <v>#REF!</v>
      </c>
      <c r="I217" s="53" t="e">
        <f>IF($C217=I$4,$E217,0)</f>
        <v>#REF!</v>
      </c>
    </row>
    <row r="218" spans="1:9" x14ac:dyDescent="0.35">
      <c r="B218" s="30" t="e">
        <f>#REF!</f>
        <v>#REF!</v>
      </c>
      <c r="C218" s="30" t="e">
        <f>VLOOKUP(B218,Competitiors!#REF!,3,FALSE)</f>
        <v>#REF!</v>
      </c>
      <c r="E218" s="46"/>
      <c r="F218" s="53"/>
      <c r="G218" s="53"/>
      <c r="H218" s="53"/>
      <c r="I218" s="53"/>
    </row>
    <row r="219" spans="1:9" x14ac:dyDescent="0.35">
      <c r="A219" s="50">
        <v>2</v>
      </c>
      <c r="B219" s="31" t="e">
        <f>#REF!</f>
        <v>#REF!</v>
      </c>
      <c r="C219" s="31" t="e">
        <f>VLOOKUP(B219,Competitiors!#REF!,3,FALSE)</f>
        <v>#REF!</v>
      </c>
      <c r="E219" s="46">
        <v>11</v>
      </c>
      <c r="F219" s="53" t="e">
        <f>IF($C219=F$4,$E219,0)</f>
        <v>#REF!</v>
      </c>
      <c r="G219" s="53" t="e">
        <f>IF($C219=G$4,$E219,0)</f>
        <v>#REF!</v>
      </c>
      <c r="H219" s="53" t="e">
        <f>IF($C219=H$4,$E219,0)</f>
        <v>#REF!</v>
      </c>
      <c r="I219" s="53" t="e">
        <f>IF($C219=I$4,$E219,0)</f>
        <v>#REF!</v>
      </c>
    </row>
    <row r="220" spans="1:9" x14ac:dyDescent="0.35">
      <c r="B220" s="30" t="e">
        <f>#REF!</f>
        <v>#REF!</v>
      </c>
      <c r="C220" s="30" t="e">
        <f>VLOOKUP(B220,Competitiors!#REF!,3,FALSE)</f>
        <v>#REF!</v>
      </c>
      <c r="E220" s="46"/>
      <c r="F220" s="53"/>
      <c r="G220" s="53"/>
      <c r="H220" s="53"/>
      <c r="I220" s="53"/>
    </row>
    <row r="221" spans="1:9" x14ac:dyDescent="0.35">
      <c r="A221" s="50">
        <v>3</v>
      </c>
      <c r="B221" s="31" t="e">
        <f>#REF!</f>
        <v>#REF!</v>
      </c>
      <c r="C221" s="31" t="e">
        <f>VLOOKUP(B221,Competitiors!#REF!,3,FALSE)</f>
        <v>#REF!</v>
      </c>
      <c r="E221" s="46">
        <v>9</v>
      </c>
      <c r="F221" s="53" t="e">
        <f>IF($C221=F$4,$E221,0)</f>
        <v>#REF!</v>
      </c>
      <c r="G221" s="53" t="e">
        <f>IF($C221=G$4,$E221,0)</f>
        <v>#REF!</v>
      </c>
      <c r="H221" s="53" t="e">
        <f>IF($C221=H$4,$E221,0)</f>
        <v>#REF!</v>
      </c>
      <c r="I221" s="53" t="e">
        <f>IF($C221=I$4,$E221,0)</f>
        <v>#REF!</v>
      </c>
    </row>
    <row r="222" spans="1:9" x14ac:dyDescent="0.35">
      <c r="B222" s="30" t="e">
        <f>#REF!</f>
        <v>#REF!</v>
      </c>
      <c r="C222" s="30" t="e">
        <f>VLOOKUP(B222,Competitiors!#REF!,3,FALSE)</f>
        <v>#REF!</v>
      </c>
      <c r="E222" s="46"/>
      <c r="F222" s="53"/>
      <c r="G222" s="53"/>
      <c r="H222" s="53"/>
      <c r="I222" s="53"/>
    </row>
    <row r="223" spans="1:9" x14ac:dyDescent="0.35">
      <c r="A223" s="50">
        <v>4</v>
      </c>
      <c r="B223" s="31" t="e">
        <f>#REF!</f>
        <v>#REF!</v>
      </c>
      <c r="C223" s="31" t="e">
        <f>VLOOKUP(B223,Competitiors!#REF!,3,FALSE)</f>
        <v>#REF!</v>
      </c>
      <c r="E223" s="46">
        <v>7</v>
      </c>
      <c r="F223" s="53" t="e">
        <f>IF($C223=F$4,$E223,0)</f>
        <v>#REF!</v>
      </c>
      <c r="G223" s="53" t="e">
        <f>IF($C223=G$4,$E223,0)</f>
        <v>#REF!</v>
      </c>
      <c r="H223" s="53" t="e">
        <f>IF($C223=H$4,$E223,0)</f>
        <v>#REF!</v>
      </c>
      <c r="I223" s="53" t="e">
        <f>IF($C223=I$4,$E223,0)</f>
        <v>#REF!</v>
      </c>
    </row>
    <row r="224" spans="1:9" x14ac:dyDescent="0.35">
      <c r="B224" s="30" t="e">
        <f>#REF!</f>
        <v>#REF!</v>
      </c>
      <c r="C224" s="30" t="e">
        <f>VLOOKUP(B224,Competitiors!#REF!,3,FALSE)</f>
        <v>#REF!</v>
      </c>
      <c r="E224" s="46"/>
      <c r="F224" s="53"/>
      <c r="G224" s="53"/>
      <c r="H224" s="53"/>
      <c r="I224" s="53"/>
    </row>
    <row r="225" spans="1:15" x14ac:dyDescent="0.35">
      <c r="A225" s="50">
        <v>5</v>
      </c>
      <c r="B225" s="31" t="e">
        <f>#REF!</f>
        <v>#REF!</v>
      </c>
      <c r="C225" s="31" t="e">
        <f>VLOOKUP(B225,Competitiors!#REF!,3,FALSE)</f>
        <v>#REF!</v>
      </c>
      <c r="E225" s="46">
        <v>6</v>
      </c>
      <c r="F225" s="53" t="e">
        <f>IF($C225=F$4,$E225,0)</f>
        <v>#REF!</v>
      </c>
      <c r="G225" s="53" t="e">
        <f>IF($C225=G$4,$E225,0)</f>
        <v>#REF!</v>
      </c>
      <c r="H225" s="53" t="e">
        <f>IF($C225=H$4,$E225,0)</f>
        <v>#REF!</v>
      </c>
      <c r="I225" s="53" t="e">
        <f>IF($C225=I$4,$E225,0)</f>
        <v>#REF!</v>
      </c>
    </row>
    <row r="226" spans="1:15" x14ac:dyDescent="0.35">
      <c r="B226" s="30" t="e">
        <f>#REF!</f>
        <v>#REF!</v>
      </c>
      <c r="C226" s="30" t="e">
        <f>VLOOKUP(B226,Competitiors!#REF!,3,FALSE)</f>
        <v>#REF!</v>
      </c>
      <c r="E226" s="46"/>
      <c r="F226" s="53"/>
      <c r="G226" s="53"/>
      <c r="H226" s="53"/>
      <c r="I226" s="53"/>
    </row>
    <row r="228" spans="1:15" x14ac:dyDescent="0.35">
      <c r="B228" s="98" t="s">
        <v>81</v>
      </c>
      <c r="C228" s="8" t="s">
        <v>63</v>
      </c>
      <c r="K228" s="97" t="s">
        <v>75</v>
      </c>
      <c r="L228" s="53"/>
      <c r="M228" s="53"/>
      <c r="N228" s="53"/>
      <c r="O228" s="53"/>
    </row>
    <row r="229" spans="1:15" x14ac:dyDescent="0.35">
      <c r="A229" s="50">
        <v>1</v>
      </c>
      <c r="B229" s="53" t="e">
        <f>#REF!</f>
        <v>#REF!</v>
      </c>
      <c r="C229" s="53" t="e">
        <f>VLOOKUP(B229,#REF!,3,FALSE)</f>
        <v>#REF!</v>
      </c>
      <c r="K229" s="46">
        <v>14</v>
      </c>
      <c r="L229" s="53" t="e">
        <f t="shared" ref="L229:O234" si="79">IF($C229=L$18,$K229,0)</f>
        <v>#REF!</v>
      </c>
      <c r="M229" s="53" t="e">
        <f t="shared" si="79"/>
        <v>#REF!</v>
      </c>
      <c r="N229" s="53" t="e">
        <f t="shared" si="79"/>
        <v>#REF!</v>
      </c>
      <c r="O229" s="53" t="e">
        <f t="shared" si="79"/>
        <v>#REF!</v>
      </c>
    </row>
    <row r="230" spans="1:15" x14ac:dyDescent="0.35">
      <c r="B230" s="53" t="e">
        <f>#REF!</f>
        <v>#REF!</v>
      </c>
      <c r="C230" s="53" t="e">
        <f>VLOOKUP(B230,#REF!,3,FALSE)</f>
        <v>#REF!</v>
      </c>
      <c r="K230" s="46"/>
      <c r="L230" s="53" t="e">
        <f t="shared" si="79"/>
        <v>#REF!</v>
      </c>
      <c r="M230" s="53" t="e">
        <f t="shared" si="79"/>
        <v>#REF!</v>
      </c>
      <c r="N230" s="53" t="e">
        <f t="shared" si="79"/>
        <v>#REF!</v>
      </c>
      <c r="O230" s="53" t="e">
        <f t="shared" si="79"/>
        <v>#REF!</v>
      </c>
    </row>
    <row r="231" spans="1:15" x14ac:dyDescent="0.35">
      <c r="A231" s="50">
        <v>2</v>
      </c>
      <c r="B231" s="53" t="e">
        <f>#REF!</f>
        <v>#REF!</v>
      </c>
      <c r="C231" s="53" t="e">
        <f>VLOOKUP(B231,#REF!,3,FALSE)</f>
        <v>#REF!</v>
      </c>
      <c r="K231" s="46">
        <v>11</v>
      </c>
      <c r="L231" s="53" t="e">
        <f t="shared" si="79"/>
        <v>#REF!</v>
      </c>
      <c r="M231" s="53" t="e">
        <f t="shared" si="79"/>
        <v>#REF!</v>
      </c>
      <c r="N231" s="53" t="e">
        <f t="shared" si="79"/>
        <v>#REF!</v>
      </c>
      <c r="O231" s="53" t="e">
        <f t="shared" si="79"/>
        <v>#REF!</v>
      </c>
    </row>
    <row r="232" spans="1:15" x14ac:dyDescent="0.35">
      <c r="B232" s="53" t="e">
        <f>#REF!</f>
        <v>#REF!</v>
      </c>
      <c r="C232" s="53" t="e">
        <f>VLOOKUP(B232,#REF!,3,FALSE)</f>
        <v>#REF!</v>
      </c>
      <c r="K232" s="46"/>
      <c r="L232" s="53" t="e">
        <f t="shared" si="79"/>
        <v>#REF!</v>
      </c>
      <c r="M232" s="53" t="e">
        <f t="shared" si="79"/>
        <v>#REF!</v>
      </c>
      <c r="N232" s="53" t="e">
        <f t="shared" si="79"/>
        <v>#REF!</v>
      </c>
      <c r="O232" s="53" t="e">
        <f t="shared" si="79"/>
        <v>#REF!</v>
      </c>
    </row>
    <row r="233" spans="1:15" x14ac:dyDescent="0.35">
      <c r="A233" s="50">
        <v>3</v>
      </c>
      <c r="B233" s="53" t="e">
        <f>#REF!</f>
        <v>#REF!</v>
      </c>
      <c r="C233" s="53" t="e">
        <f>VLOOKUP(B233,#REF!,3,FALSE)</f>
        <v>#REF!</v>
      </c>
      <c r="K233" s="46">
        <v>9</v>
      </c>
      <c r="L233" s="53" t="e">
        <f t="shared" si="79"/>
        <v>#REF!</v>
      </c>
      <c r="M233" s="53" t="e">
        <f t="shared" si="79"/>
        <v>#REF!</v>
      </c>
      <c r="N233" s="53" t="e">
        <f t="shared" si="79"/>
        <v>#REF!</v>
      </c>
      <c r="O233" s="53" t="e">
        <f t="shared" si="79"/>
        <v>#REF!</v>
      </c>
    </row>
    <row r="234" spans="1:15" x14ac:dyDescent="0.35">
      <c r="B234" s="53" t="e">
        <f>#REF!</f>
        <v>#REF!</v>
      </c>
      <c r="C234" s="53" t="e">
        <f>VLOOKUP(B234,#REF!,3,FALSE)</f>
        <v>#REF!</v>
      </c>
      <c r="K234" s="46"/>
      <c r="L234" s="53" t="e">
        <f t="shared" si="79"/>
        <v>#REF!</v>
      </c>
      <c r="M234" s="53" t="e">
        <f t="shared" si="79"/>
        <v>#REF!</v>
      </c>
      <c r="N234" s="53" t="e">
        <f t="shared" si="79"/>
        <v>#REF!</v>
      </c>
      <c r="O234" s="53" t="e">
        <f t="shared" si="79"/>
        <v>#REF!</v>
      </c>
    </row>
    <row r="235" spans="1:15" x14ac:dyDescent="0.35">
      <c r="B235" s="57"/>
      <c r="C235" s="57"/>
    </row>
    <row r="236" spans="1:15" x14ac:dyDescent="0.35">
      <c r="B236" s="92" t="s">
        <v>82</v>
      </c>
      <c r="C236" s="8" t="s">
        <v>63</v>
      </c>
      <c r="K236" s="97" t="s">
        <v>75</v>
      </c>
      <c r="L236" s="53"/>
      <c r="M236" s="53"/>
      <c r="N236" s="53"/>
      <c r="O236" s="53"/>
    </row>
    <row r="237" spans="1:15" x14ac:dyDescent="0.35">
      <c r="A237" s="50">
        <v>1</v>
      </c>
      <c r="B237" s="53" t="e">
        <f>+#REF!</f>
        <v>#REF!</v>
      </c>
      <c r="C237" s="53" t="e">
        <f>VLOOKUP(B237,#REF!,3,FALSE)</f>
        <v>#REF!</v>
      </c>
      <c r="K237" s="46">
        <v>14</v>
      </c>
      <c r="L237" s="53" t="e">
        <f t="shared" ref="L237:O242" si="80">IF($C237=L$18,$K237,0)</f>
        <v>#REF!</v>
      </c>
      <c r="M237" s="53" t="e">
        <f t="shared" si="80"/>
        <v>#REF!</v>
      </c>
      <c r="N237" s="53" t="e">
        <f t="shared" si="80"/>
        <v>#REF!</v>
      </c>
      <c r="O237" s="53" t="e">
        <f t="shared" si="80"/>
        <v>#REF!</v>
      </c>
    </row>
    <row r="238" spans="1:15" x14ac:dyDescent="0.35">
      <c r="B238" s="53" t="e">
        <f>+#REF!</f>
        <v>#REF!</v>
      </c>
      <c r="C238" s="53" t="e">
        <f>VLOOKUP(B238,#REF!,3,FALSE)</f>
        <v>#REF!</v>
      </c>
      <c r="K238" s="46"/>
      <c r="L238" s="53" t="e">
        <f t="shared" si="80"/>
        <v>#REF!</v>
      </c>
      <c r="M238" s="53" t="e">
        <f t="shared" si="80"/>
        <v>#REF!</v>
      </c>
      <c r="N238" s="53" t="e">
        <f t="shared" si="80"/>
        <v>#REF!</v>
      </c>
      <c r="O238" s="53" t="e">
        <f t="shared" si="80"/>
        <v>#REF!</v>
      </c>
    </row>
    <row r="239" spans="1:15" x14ac:dyDescent="0.35">
      <c r="A239" s="50">
        <v>2</v>
      </c>
      <c r="B239" s="53" t="e">
        <f>+#REF!</f>
        <v>#REF!</v>
      </c>
      <c r="C239" s="53" t="e">
        <f>VLOOKUP(B239,#REF!,3,FALSE)</f>
        <v>#REF!</v>
      </c>
      <c r="K239" s="46">
        <v>11</v>
      </c>
      <c r="L239" s="53" t="e">
        <f t="shared" si="80"/>
        <v>#REF!</v>
      </c>
      <c r="M239" s="53" t="e">
        <f t="shared" si="80"/>
        <v>#REF!</v>
      </c>
      <c r="N239" s="53" t="e">
        <f t="shared" si="80"/>
        <v>#REF!</v>
      </c>
      <c r="O239" s="53" t="e">
        <f t="shared" si="80"/>
        <v>#REF!</v>
      </c>
    </row>
    <row r="240" spans="1:15" x14ac:dyDescent="0.35">
      <c r="B240" s="53" t="e">
        <f>+#REF!</f>
        <v>#REF!</v>
      </c>
      <c r="C240" s="53" t="e">
        <f>VLOOKUP(B240,#REF!,3,FALSE)</f>
        <v>#REF!</v>
      </c>
      <c r="K240" s="46"/>
      <c r="L240" s="53" t="e">
        <f t="shared" si="80"/>
        <v>#REF!</v>
      </c>
      <c r="M240" s="53" t="e">
        <f t="shared" si="80"/>
        <v>#REF!</v>
      </c>
      <c r="N240" s="53" t="e">
        <f t="shared" si="80"/>
        <v>#REF!</v>
      </c>
      <c r="O240" s="53" t="e">
        <f t="shared" si="80"/>
        <v>#REF!</v>
      </c>
    </row>
    <row r="241" spans="1:15" x14ac:dyDescent="0.35">
      <c r="A241" s="50">
        <v>3</v>
      </c>
      <c r="B241" s="53" t="e">
        <f>+#REF!</f>
        <v>#REF!</v>
      </c>
      <c r="C241" s="53" t="e">
        <f>VLOOKUP(B241,#REF!,3,FALSE)</f>
        <v>#REF!</v>
      </c>
      <c r="K241" s="46">
        <v>9</v>
      </c>
      <c r="L241" s="53" t="e">
        <f t="shared" si="80"/>
        <v>#REF!</v>
      </c>
      <c r="M241" s="53" t="e">
        <f t="shared" si="80"/>
        <v>#REF!</v>
      </c>
      <c r="N241" s="53" t="e">
        <f t="shared" si="80"/>
        <v>#REF!</v>
      </c>
      <c r="O241" s="53" t="e">
        <f t="shared" si="80"/>
        <v>#REF!</v>
      </c>
    </row>
    <row r="242" spans="1:15" x14ac:dyDescent="0.35">
      <c r="B242" s="53" t="e">
        <f>+#REF!</f>
        <v>#REF!</v>
      </c>
      <c r="C242" s="53" t="e">
        <f>VLOOKUP(B242,#REF!,3,FALSE)</f>
        <v>#REF!</v>
      </c>
      <c r="K242" s="46"/>
      <c r="L242" s="53" t="e">
        <f t="shared" si="80"/>
        <v>#REF!</v>
      </c>
      <c r="M242" s="53" t="e">
        <f t="shared" si="80"/>
        <v>#REF!</v>
      </c>
      <c r="N242" s="53" t="e">
        <f t="shared" si="80"/>
        <v>#REF!</v>
      </c>
      <c r="O242" s="53" t="e">
        <f t="shared" si="80"/>
        <v>#REF!</v>
      </c>
    </row>
    <row r="243" spans="1:15" x14ac:dyDescent="0.35">
      <c r="K243" s="99"/>
      <c r="L243" s="57"/>
      <c r="M243" s="57"/>
      <c r="N243" s="57"/>
      <c r="O243" s="57"/>
    </row>
    <row r="244" spans="1:15" x14ac:dyDescent="0.35">
      <c r="B244" s="100" t="s">
        <v>83</v>
      </c>
      <c r="C244" s="8" t="s">
        <v>63</v>
      </c>
      <c r="E244" s="97" t="s">
        <v>83</v>
      </c>
      <c r="F244" s="53"/>
      <c r="G244" s="53"/>
      <c r="H244" s="53"/>
      <c r="I244" s="53"/>
      <c r="K244" s="99"/>
      <c r="L244" s="57"/>
      <c r="M244" s="57"/>
      <c r="N244" s="57"/>
      <c r="O244" s="57"/>
    </row>
    <row r="245" spans="1:15" x14ac:dyDescent="0.35">
      <c r="B245" s="53" t="e">
        <f>#REF!</f>
        <v>#REF!</v>
      </c>
      <c r="C245" s="53" t="e">
        <f>VLOOKUP(B245,Competitiors!#REF!,3,FALSE)</f>
        <v>#REF!</v>
      </c>
      <c r="E245" s="46">
        <v>28</v>
      </c>
      <c r="F245" s="53" t="e">
        <f>IF($C245=F$4,$E245,0)</f>
        <v>#REF!</v>
      </c>
      <c r="G245" s="53" t="e">
        <f>IF($C245=G$4,$E245,0)</f>
        <v>#REF!</v>
      </c>
      <c r="H245" s="53" t="e">
        <f>IF($C245=H$4,$E245,0)</f>
        <v>#REF!</v>
      </c>
      <c r="I245" s="53" t="e">
        <f>IF($C245=I$4,$E245,0)</f>
        <v>#REF!</v>
      </c>
      <c r="K245" s="99"/>
      <c r="L245" s="57"/>
      <c r="M245" s="57"/>
      <c r="N245" s="57"/>
      <c r="O245" s="57"/>
    </row>
    <row r="246" spans="1:15" x14ac:dyDescent="0.35">
      <c r="B246" s="53" t="e">
        <f>#REF!</f>
        <v>#REF!</v>
      </c>
      <c r="C246" s="53" t="e">
        <f>VLOOKUP(B246,Competitiors!#REF!,3,FALSE)</f>
        <v>#REF!</v>
      </c>
      <c r="E246" s="46"/>
      <c r="F246" s="53"/>
      <c r="G246" s="53"/>
      <c r="H246" s="53"/>
      <c r="I246" s="53"/>
      <c r="K246" s="99"/>
      <c r="L246" s="57"/>
      <c r="M246" s="57"/>
      <c r="N246" s="57"/>
      <c r="O246" s="57"/>
    </row>
    <row r="247" spans="1:15" x14ac:dyDescent="0.35">
      <c r="B247" s="53" t="e">
        <f>#REF!</f>
        <v>#REF!</v>
      </c>
      <c r="C247" s="53" t="e">
        <f>VLOOKUP(B247,Competitiors!#REF!,3,FALSE)</f>
        <v>#REF!</v>
      </c>
      <c r="E247" s="46"/>
      <c r="F247" s="53"/>
      <c r="G247" s="53"/>
      <c r="H247" s="53"/>
      <c r="I247" s="53"/>
      <c r="K247" s="99"/>
      <c r="L247" s="57"/>
      <c r="M247" s="57"/>
      <c r="N247" s="57"/>
      <c r="O247" s="57"/>
    </row>
    <row r="248" spans="1:15" x14ac:dyDescent="0.35">
      <c r="B248" s="53" t="e">
        <f>#REF!</f>
        <v>#REF!</v>
      </c>
      <c r="C248" s="53" t="e">
        <f>VLOOKUP(B248,Competitiors!#REF!,3,FALSE)</f>
        <v>#REF!</v>
      </c>
      <c r="E248" s="46"/>
      <c r="F248" s="53"/>
      <c r="G248" s="53"/>
      <c r="H248" s="53"/>
      <c r="I248" s="53"/>
      <c r="K248" s="99"/>
      <c r="L248" s="57"/>
      <c r="M248" s="57"/>
      <c r="N248" s="57"/>
      <c r="O248" s="57"/>
    </row>
    <row r="249" spans="1:15" x14ac:dyDescent="0.35">
      <c r="B249" s="53" t="e">
        <f>#REF!</f>
        <v>#REF!</v>
      </c>
      <c r="C249" s="53" t="e">
        <f>VLOOKUP(B249,Competitiors!#REF!,3,FALSE)</f>
        <v>#REF!</v>
      </c>
      <c r="E249" s="46"/>
      <c r="F249" s="53"/>
      <c r="G249" s="53"/>
      <c r="H249" s="53"/>
      <c r="I249" s="53"/>
      <c r="K249" s="99"/>
      <c r="L249" s="57"/>
      <c r="M249" s="57"/>
      <c r="N249" s="57"/>
      <c r="O249" s="57"/>
    </row>
    <row r="250" spans="1:15" x14ac:dyDescent="0.35">
      <c r="B250" s="53" t="e">
        <f>#REF!</f>
        <v>#REF!</v>
      </c>
      <c r="C250" s="53" t="e">
        <f>VLOOKUP(B250,Competitiors!#REF!,3,FALSE)</f>
        <v>#REF!</v>
      </c>
      <c r="E250" s="46"/>
      <c r="F250" s="53"/>
      <c r="G250" s="53"/>
      <c r="H250" s="53"/>
      <c r="I250" s="53"/>
      <c r="K250" s="99"/>
      <c r="L250" s="57"/>
      <c r="M250" s="57"/>
      <c r="N250" s="57"/>
      <c r="O250" s="57"/>
    </row>
    <row r="251" spans="1:15" x14ac:dyDescent="0.35">
      <c r="B251" s="53" t="e">
        <f>#REF!</f>
        <v>#REF!</v>
      </c>
      <c r="C251" s="53" t="e">
        <f>VLOOKUP(B251,Competitiors!#REF!,3,FALSE)</f>
        <v>#REF!</v>
      </c>
      <c r="E251" s="46">
        <v>22</v>
      </c>
      <c r="F251" s="53" t="e">
        <f>IF($C251=F$4,$E251,0)</f>
        <v>#REF!</v>
      </c>
      <c r="G251" s="53" t="e">
        <f>IF($C251=G$4,$E251,0)</f>
        <v>#REF!</v>
      </c>
      <c r="H251" s="53" t="e">
        <f>IF($C251=H$4,$E251,0)</f>
        <v>#REF!</v>
      </c>
      <c r="I251" s="53" t="e">
        <f>IF($C251=I$4,$E251,0)</f>
        <v>#REF!</v>
      </c>
      <c r="K251" s="99"/>
      <c r="L251" s="57"/>
      <c r="M251" s="57"/>
      <c r="N251" s="57"/>
      <c r="O251" s="57"/>
    </row>
    <row r="252" spans="1:15" x14ac:dyDescent="0.35">
      <c r="B252" s="53" t="e">
        <f>#REF!</f>
        <v>#REF!</v>
      </c>
      <c r="C252" s="53" t="e">
        <f>VLOOKUP(B252,Competitiors!#REF!,3,FALSE)</f>
        <v>#REF!</v>
      </c>
      <c r="E252" s="46"/>
      <c r="F252" s="53"/>
      <c r="G252" s="53"/>
      <c r="H252" s="53"/>
      <c r="I252" s="53"/>
    </row>
    <row r="253" spans="1:15" x14ac:dyDescent="0.35">
      <c r="B253" s="53" t="e">
        <f>#REF!</f>
        <v>#REF!</v>
      </c>
      <c r="C253" s="53" t="e">
        <f>VLOOKUP(B253,Competitiors!#REF!,3,FALSE)</f>
        <v>#REF!</v>
      </c>
      <c r="E253" s="46"/>
      <c r="F253" s="53"/>
      <c r="G253" s="53"/>
      <c r="H253" s="53"/>
      <c r="I253" s="53"/>
    </row>
    <row r="254" spans="1:15" x14ac:dyDescent="0.35">
      <c r="B254" s="53" t="e">
        <f>#REF!</f>
        <v>#REF!</v>
      </c>
      <c r="C254" s="53" t="e">
        <f>VLOOKUP(B254,Competitiors!#REF!,3,FALSE)</f>
        <v>#REF!</v>
      </c>
      <c r="E254" s="46"/>
      <c r="F254" s="53"/>
      <c r="G254" s="53"/>
      <c r="H254" s="53"/>
      <c r="I254" s="53"/>
    </row>
    <row r="255" spans="1:15" x14ac:dyDescent="0.35">
      <c r="A255" s="50">
        <v>2</v>
      </c>
      <c r="B255" s="53" t="e">
        <f>#REF!</f>
        <v>#REF!</v>
      </c>
      <c r="C255" s="53" t="e">
        <f>VLOOKUP(B255,Competitiors!#REF!,3,FALSE)</f>
        <v>#REF!</v>
      </c>
      <c r="E255" s="46"/>
      <c r="F255" s="53"/>
      <c r="G255" s="53"/>
      <c r="H255" s="53"/>
      <c r="I255" s="53"/>
    </row>
    <row r="256" spans="1:15" x14ac:dyDescent="0.35">
      <c r="B256" s="57"/>
      <c r="C256" s="57"/>
    </row>
    <row r="257" spans="1:15" x14ac:dyDescent="0.35">
      <c r="B257" s="96" t="s">
        <v>77</v>
      </c>
      <c r="C257" s="8" t="s">
        <v>63</v>
      </c>
      <c r="K257" s="97" t="s">
        <v>74</v>
      </c>
      <c r="L257" s="53"/>
      <c r="M257" s="53"/>
      <c r="N257" s="53"/>
      <c r="O257" s="53"/>
    </row>
    <row r="258" spans="1:15" x14ac:dyDescent="0.35">
      <c r="A258" s="50">
        <v>1</v>
      </c>
      <c r="B258" s="53" t="s">
        <v>50</v>
      </c>
      <c r="C258" s="53" t="e">
        <f>VLOOKUP(B258,#REF!,3,FALSE)</f>
        <v>#REF!</v>
      </c>
      <c r="K258" s="46">
        <v>28</v>
      </c>
      <c r="L258" s="53" t="e">
        <f>IF($C258=L$18,$K258,0)</f>
        <v>#REF!</v>
      </c>
      <c r="M258" s="53" t="e">
        <f>IF($C258=M$18,$K258,0)</f>
        <v>#REF!</v>
      </c>
      <c r="N258" s="53" t="e">
        <f>IF($C258=N$18,$K258,0)</f>
        <v>#REF!</v>
      </c>
      <c r="O258" s="53" t="e">
        <f>IF($C258=O$18,$K258,0)</f>
        <v>#REF!</v>
      </c>
    </row>
    <row r="259" spans="1:15" x14ac:dyDescent="0.35">
      <c r="B259" s="53" t="s">
        <v>51</v>
      </c>
      <c r="C259" s="53" t="e">
        <f>VLOOKUP(B259,#REF!,3,FALSE)</f>
        <v>#REF!</v>
      </c>
      <c r="K259" s="46"/>
      <c r="L259" s="53"/>
      <c r="M259" s="53"/>
      <c r="N259" s="53"/>
      <c r="O259" s="53"/>
    </row>
    <row r="260" spans="1:15" x14ac:dyDescent="0.35">
      <c r="B260" s="53" t="s">
        <v>52</v>
      </c>
      <c r="C260" s="53" t="e">
        <f>VLOOKUP(B260,#REF!,3,FALSE)</f>
        <v>#REF!</v>
      </c>
      <c r="K260" s="46"/>
      <c r="L260" s="53"/>
      <c r="M260" s="53"/>
      <c r="N260" s="53"/>
      <c r="O260" s="53"/>
    </row>
    <row r="261" spans="1:15" x14ac:dyDescent="0.35">
      <c r="B261" s="53" t="s">
        <v>53</v>
      </c>
      <c r="C261" s="53" t="e">
        <f>VLOOKUP(B261,#REF!,3,FALSE)</f>
        <v>#REF!</v>
      </c>
      <c r="K261" s="8"/>
      <c r="L261" s="53"/>
      <c r="M261" s="53"/>
      <c r="N261" s="53"/>
      <c r="O261" s="53"/>
    </row>
    <row r="262" spans="1:15" x14ac:dyDescent="0.35">
      <c r="B262" s="53" t="s">
        <v>41</v>
      </c>
      <c r="C262" s="53" t="e">
        <f>VLOOKUP(B262,#REF!,3,FALSE)</f>
        <v>#REF!</v>
      </c>
      <c r="K262" s="46"/>
      <c r="L262" s="53"/>
      <c r="M262" s="53"/>
      <c r="N262" s="53"/>
      <c r="O262" s="53"/>
    </row>
    <row r="263" spans="1:15" x14ac:dyDescent="0.35">
      <c r="B263" s="53" t="s">
        <v>42</v>
      </c>
      <c r="C263" s="53" t="e">
        <f>VLOOKUP(B263,#REF!,3,FALSE)</f>
        <v>#REF!</v>
      </c>
      <c r="K263" s="46"/>
      <c r="L263" s="53"/>
      <c r="M263" s="53"/>
      <c r="N263" s="53"/>
      <c r="O263" s="53"/>
    </row>
    <row r="264" spans="1:15" x14ac:dyDescent="0.35">
      <c r="B264" s="53" t="s">
        <v>43</v>
      </c>
      <c r="C264" s="53" t="e">
        <f>VLOOKUP(B264,#REF!,3,FALSE)</f>
        <v>#REF!</v>
      </c>
      <c r="K264" s="46"/>
      <c r="L264" s="53"/>
      <c r="M264" s="53"/>
      <c r="N264" s="53"/>
      <c r="O264" s="53"/>
    </row>
    <row r="265" spans="1:15" x14ac:dyDescent="0.35">
      <c r="B265" s="53" t="s">
        <v>44</v>
      </c>
      <c r="C265" s="53" t="e">
        <f>VLOOKUP(B265,#REF!,3,FALSE)</f>
        <v>#REF!</v>
      </c>
      <c r="K265" s="8"/>
      <c r="L265" s="53"/>
      <c r="M265" s="53"/>
      <c r="N265" s="53"/>
      <c r="O265" s="53"/>
    </row>
    <row r="266" spans="1:15" x14ac:dyDescent="0.35">
      <c r="A266" s="50">
        <v>3</v>
      </c>
      <c r="B266" s="53" t="s">
        <v>57</v>
      </c>
      <c r="C266" s="53" t="e">
        <f>VLOOKUP(B266,#REF!,3,FALSE)</f>
        <v>#REF!</v>
      </c>
      <c r="K266" s="46">
        <v>22</v>
      </c>
      <c r="L266" s="53" t="e">
        <f>IF($C266=L$18,$K266,0)</f>
        <v>#REF!</v>
      </c>
      <c r="M266" s="53" t="e">
        <f>IF($C266=M$18,$K266,0)</f>
        <v>#REF!</v>
      </c>
      <c r="N266" s="53" t="e">
        <f>IF($C266=N$18,$K266,0)</f>
        <v>#REF!</v>
      </c>
      <c r="O266" s="53" t="e">
        <f>IF($C266=O$18,$K266,0)</f>
        <v>#REF!</v>
      </c>
    </row>
    <row r="267" spans="1:15" x14ac:dyDescent="0.35">
      <c r="B267" s="53" t="s">
        <v>58</v>
      </c>
      <c r="C267" s="53" t="e">
        <f>VLOOKUP(B267,#REF!,3,FALSE)</f>
        <v>#REF!</v>
      </c>
      <c r="K267" s="8"/>
      <c r="L267" s="53"/>
      <c r="M267" s="53"/>
      <c r="N267" s="53"/>
      <c r="O267" s="53"/>
    </row>
    <row r="268" spans="1:15" x14ac:dyDescent="0.35">
      <c r="B268" s="53" t="s">
        <v>59</v>
      </c>
      <c r="C268" s="53" t="e">
        <f>VLOOKUP(B268,#REF!,3,FALSE)</f>
        <v>#REF!</v>
      </c>
      <c r="K268" s="46"/>
      <c r="L268" s="53"/>
      <c r="M268" s="53"/>
      <c r="N268" s="53"/>
      <c r="O268" s="53"/>
    </row>
    <row r="269" spans="1:15" x14ac:dyDescent="0.35">
      <c r="B269" s="53" t="s">
        <v>48</v>
      </c>
      <c r="C269" s="53" t="e">
        <f>VLOOKUP(B269,#REF!,3,FALSE)</f>
        <v>#REF!</v>
      </c>
      <c r="K269" s="46"/>
      <c r="L269" s="53"/>
      <c r="M269" s="53"/>
      <c r="N269" s="53"/>
      <c r="O269" s="53"/>
    </row>
    <row r="270" spans="1:15" x14ac:dyDescent="0.35">
      <c r="B270" s="53" t="s">
        <v>49</v>
      </c>
      <c r="C270" s="53" t="e">
        <f>VLOOKUP(B270,#REF!,3,FALSE)</f>
        <v>#REF!</v>
      </c>
      <c r="K270" s="46"/>
      <c r="L270" s="53"/>
      <c r="M270" s="53"/>
      <c r="N270" s="53"/>
      <c r="O270" s="53"/>
    </row>
    <row r="271" spans="1:15" x14ac:dyDescent="0.35">
      <c r="A271" s="50">
        <v>2</v>
      </c>
      <c r="B271" s="53" t="s">
        <v>54</v>
      </c>
      <c r="C271" s="53" t="e">
        <f>VLOOKUP(B271,#REF!,3,FALSE)</f>
        <v>#REF!</v>
      </c>
      <c r="K271" s="46">
        <v>18</v>
      </c>
      <c r="L271" s="53" t="e">
        <f>IF($C271=L$18,$K271,0)</f>
        <v>#REF!</v>
      </c>
      <c r="M271" s="53" t="e">
        <f>IF($C271=M$18,$K271,0)</f>
        <v>#REF!</v>
      </c>
      <c r="N271" s="53" t="e">
        <f>IF($C271=N$18,$K271,0)</f>
        <v>#REF!</v>
      </c>
      <c r="O271" s="53" t="e">
        <f>IF($C271=O$18,$K271,0)</f>
        <v>#REF!</v>
      </c>
    </row>
    <row r="272" spans="1:15" x14ac:dyDescent="0.35">
      <c r="B272" s="53" t="s">
        <v>55</v>
      </c>
      <c r="C272" s="53" t="e">
        <f>VLOOKUP(B272,#REF!,3,FALSE)</f>
        <v>#REF!</v>
      </c>
      <c r="K272" s="46"/>
      <c r="L272" s="53"/>
      <c r="M272" s="53"/>
      <c r="N272" s="53"/>
      <c r="O272" s="53"/>
    </row>
    <row r="273" spans="2:15" x14ac:dyDescent="0.35">
      <c r="B273" s="53" t="s">
        <v>56</v>
      </c>
      <c r="C273" s="53" t="e">
        <f>VLOOKUP(B273,#REF!,3,FALSE)</f>
        <v>#REF!</v>
      </c>
      <c r="K273" s="46"/>
      <c r="L273" s="53"/>
      <c r="M273" s="53"/>
      <c r="N273" s="53"/>
      <c r="O273" s="53"/>
    </row>
    <row r="274" spans="2:15" x14ac:dyDescent="0.35">
      <c r="B274" s="53" t="s">
        <v>45</v>
      </c>
      <c r="C274" s="53" t="e">
        <f>VLOOKUP(B274,#REF!,3,FALSE)</f>
        <v>#REF!</v>
      </c>
      <c r="K274" s="8"/>
      <c r="L274" s="53"/>
      <c r="M274" s="53"/>
      <c r="N274" s="53"/>
      <c r="O274" s="53"/>
    </row>
    <row r="275" spans="2:15" x14ac:dyDescent="0.35">
      <c r="B275" s="53" t="s">
        <v>46</v>
      </c>
      <c r="C275" s="53" t="e">
        <f>VLOOKUP(B275,#REF!,3,FALSE)</f>
        <v>#REF!</v>
      </c>
      <c r="K275" s="46"/>
      <c r="L275" s="53"/>
      <c r="M275" s="53"/>
      <c r="N275" s="53"/>
      <c r="O275" s="53"/>
    </row>
    <row r="276" spans="2:15" x14ac:dyDescent="0.35">
      <c r="B276" s="53" t="s">
        <v>47</v>
      </c>
      <c r="C276" s="53" t="e">
        <f>VLOOKUP(B276,#REF!,3,FALSE)</f>
        <v>#REF!</v>
      </c>
      <c r="K276" s="46"/>
      <c r="L276" s="53"/>
      <c r="M276" s="53"/>
      <c r="N276" s="53"/>
      <c r="O276" s="53"/>
    </row>
    <row r="277" spans="2:15" x14ac:dyDescent="0.35">
      <c r="B277" s="57"/>
      <c r="C277" s="57"/>
    </row>
    <row r="278" spans="2:15" x14ac:dyDescent="0.35">
      <c r="B278" s="45" t="s">
        <v>68</v>
      </c>
      <c r="C278" s="8" t="s">
        <v>63</v>
      </c>
      <c r="K278" s="97" t="s">
        <v>68</v>
      </c>
      <c r="L278" s="53"/>
      <c r="M278" s="53"/>
      <c r="N278" s="53"/>
      <c r="O278" s="53"/>
    </row>
    <row r="279" spans="2:15" x14ac:dyDescent="0.35">
      <c r="B279" s="53" t="e">
        <f>+#REF!</f>
        <v>#REF!</v>
      </c>
      <c r="C279" s="53" t="e">
        <f>B279</f>
        <v>#REF!</v>
      </c>
      <c r="K279" s="46">
        <v>28</v>
      </c>
      <c r="L279" s="53" t="e">
        <f t="shared" ref="L279:O281" si="81">IF($C279=L$18,$K279,0)</f>
        <v>#REF!</v>
      </c>
      <c r="M279" s="53" t="e">
        <f t="shared" si="81"/>
        <v>#REF!</v>
      </c>
      <c r="N279" s="53" t="e">
        <f t="shared" si="81"/>
        <v>#REF!</v>
      </c>
      <c r="O279" s="53" t="e">
        <f t="shared" si="81"/>
        <v>#REF!</v>
      </c>
    </row>
    <row r="280" spans="2:15" x14ac:dyDescent="0.35">
      <c r="B280" s="53" t="e">
        <f>+#REF!</f>
        <v>#REF!</v>
      </c>
      <c r="C280" s="53" t="e">
        <f t="shared" ref="C280:C281" si="82">B280</f>
        <v>#REF!</v>
      </c>
      <c r="E280" s="53" t="s">
        <v>78</v>
      </c>
      <c r="F280" s="53" t="str">
        <f>+F4</f>
        <v>Kingfisher</v>
      </c>
      <c r="G280" s="53" t="str">
        <f>+G4</f>
        <v>Tuks</v>
      </c>
      <c r="H280" s="53" t="str">
        <f>+H4</f>
        <v>Cygnus</v>
      </c>
      <c r="I280" s="53" t="str">
        <f>+I4</f>
        <v>Umlazi Sharks</v>
      </c>
      <c r="K280" s="46">
        <v>22</v>
      </c>
      <c r="L280" s="53" t="e">
        <f t="shared" si="81"/>
        <v>#REF!</v>
      </c>
      <c r="M280" s="53" t="e">
        <f t="shared" si="81"/>
        <v>#REF!</v>
      </c>
      <c r="N280" s="53" t="e">
        <f t="shared" si="81"/>
        <v>#REF!</v>
      </c>
      <c r="O280" s="53" t="e">
        <f t="shared" si="81"/>
        <v>#REF!</v>
      </c>
    </row>
    <row r="281" spans="2:15" x14ac:dyDescent="0.35">
      <c r="B281" s="53" t="e">
        <f>+#REF!</f>
        <v>#REF!</v>
      </c>
      <c r="C281" s="53" t="e">
        <f t="shared" si="82"/>
        <v>#REF!</v>
      </c>
      <c r="E281" s="53" t="s">
        <v>5</v>
      </c>
      <c r="F281" s="53" t="e">
        <f>SUM(F5:F279)</f>
        <v>#N/A</v>
      </c>
      <c r="G281" s="53" t="e">
        <f>SUM(G5:G279)</f>
        <v>#N/A</v>
      </c>
      <c r="H281" s="53" t="e">
        <f>SUM(H5:H279)</f>
        <v>#N/A</v>
      </c>
      <c r="I281" s="53" t="e">
        <f>SUM(I5:I279)</f>
        <v>#N/A</v>
      </c>
      <c r="K281" s="46">
        <v>18</v>
      </c>
      <c r="L281" s="53" t="e">
        <f t="shared" si="81"/>
        <v>#REF!</v>
      </c>
      <c r="M281" s="53" t="e">
        <f t="shared" si="81"/>
        <v>#REF!</v>
      </c>
      <c r="N281" s="53" t="e">
        <f t="shared" si="81"/>
        <v>#REF!</v>
      </c>
      <c r="O281" s="53" t="e">
        <f t="shared" si="81"/>
        <v>#REF!</v>
      </c>
    </row>
    <row r="282" spans="2:15" x14ac:dyDescent="0.35">
      <c r="B282" s="57"/>
      <c r="C282" s="57"/>
      <c r="E282" s="57"/>
      <c r="F282" s="57"/>
      <c r="G282" s="57"/>
      <c r="H282" s="57"/>
      <c r="I282" s="57"/>
    </row>
    <row r="283" spans="2:15" x14ac:dyDescent="0.35">
      <c r="B283" s="57"/>
      <c r="C283" s="57"/>
      <c r="K283" s="53"/>
      <c r="L283" s="53">
        <f>L18</f>
        <v>0</v>
      </c>
      <c r="M283" s="53" t="str">
        <f>M18</f>
        <v>Novice 13 -1 5</v>
      </c>
      <c r="N283" s="53" t="str">
        <f>N18</f>
        <v>Kingfisher</v>
      </c>
      <c r="O283" s="53" t="str">
        <f>O18</f>
        <v>Tuks</v>
      </c>
    </row>
    <row r="284" spans="2:15" x14ac:dyDescent="0.35">
      <c r="B284" s="57"/>
      <c r="C284" s="57"/>
      <c r="K284" s="53" t="s">
        <v>84</v>
      </c>
      <c r="L284" s="53" t="e">
        <f>SUM(L19:L281)</f>
        <v>#REF!</v>
      </c>
      <c r="M284" s="53" t="e">
        <f>SUM(M19:M281)</f>
        <v>#REF!</v>
      </c>
      <c r="N284" s="53" t="e">
        <f>SUM(N19:N281)</f>
        <v>#N/A</v>
      </c>
      <c r="O284" s="53" t="e">
        <f>SUM(O19:O281)</f>
        <v>#N/A</v>
      </c>
    </row>
    <row r="285" spans="2:15" x14ac:dyDescent="0.35">
      <c r="B285" s="57"/>
      <c r="C285" s="57"/>
    </row>
    <row r="286" spans="2:15" x14ac:dyDescent="0.35">
      <c r="B286" s="57"/>
      <c r="C286" s="57"/>
    </row>
    <row r="287" spans="2:15" x14ac:dyDescent="0.35">
      <c r="B287" s="57"/>
      <c r="C287" s="57"/>
    </row>
    <row r="288" spans="2:15" x14ac:dyDescent="0.35">
      <c r="B288" s="57"/>
      <c r="C288" s="57"/>
    </row>
    <row r="289" spans="2:3" x14ac:dyDescent="0.35">
      <c r="B289" s="57"/>
      <c r="C289" s="57"/>
    </row>
    <row r="290" spans="2:3" x14ac:dyDescent="0.35">
      <c r="B290" s="57"/>
      <c r="C290" s="57"/>
    </row>
    <row r="291" spans="2:3" x14ac:dyDescent="0.35">
      <c r="B291" s="57"/>
      <c r="C291" s="57"/>
    </row>
    <row r="292" spans="2:3" x14ac:dyDescent="0.35">
      <c r="B292" s="57"/>
      <c r="C292" s="57"/>
    </row>
    <row r="293" spans="2:3" x14ac:dyDescent="0.35">
      <c r="B293" s="57"/>
      <c r="C293" s="57"/>
    </row>
    <row r="294" spans="2:3" x14ac:dyDescent="0.35">
      <c r="B294" s="57"/>
      <c r="C294" s="57"/>
    </row>
    <row r="295" spans="2:3" x14ac:dyDescent="0.35">
      <c r="B295" s="57"/>
      <c r="C295" s="57"/>
    </row>
    <row r="296" spans="2:3" x14ac:dyDescent="0.35">
      <c r="B296" s="57"/>
      <c r="C296" s="57"/>
    </row>
    <row r="297" spans="2:3" x14ac:dyDescent="0.35">
      <c r="B297" s="57"/>
      <c r="C297" s="57"/>
    </row>
    <row r="298" spans="2:3" x14ac:dyDescent="0.35">
      <c r="B298" s="57"/>
      <c r="C298" s="57"/>
    </row>
    <row r="299" spans="2:3" x14ac:dyDescent="0.35">
      <c r="B299" s="57"/>
      <c r="C299" s="57"/>
    </row>
    <row r="300" spans="2:3" x14ac:dyDescent="0.35">
      <c r="B300" s="57"/>
      <c r="C300" s="57"/>
    </row>
    <row r="301" spans="2:3" x14ac:dyDescent="0.35">
      <c r="B301" s="57"/>
      <c r="C301" s="57"/>
    </row>
    <row r="302" spans="2:3" x14ac:dyDescent="0.35">
      <c r="B302" s="57"/>
      <c r="C302" s="57"/>
    </row>
    <row r="303" spans="2:3" x14ac:dyDescent="0.35">
      <c r="B303" s="57"/>
      <c r="C303" s="57"/>
    </row>
    <row r="304" spans="2:3" x14ac:dyDescent="0.35">
      <c r="B304" s="57"/>
      <c r="C304" s="57"/>
    </row>
    <row r="305" spans="2:3" x14ac:dyDescent="0.35">
      <c r="B305" s="57"/>
      <c r="C305" s="57"/>
    </row>
    <row r="306" spans="2:3" x14ac:dyDescent="0.35">
      <c r="B306" s="57"/>
      <c r="C306" s="57"/>
    </row>
    <row r="307" spans="2:3" x14ac:dyDescent="0.35">
      <c r="B307" s="57"/>
      <c r="C307" s="57"/>
    </row>
    <row r="308" spans="2:3" x14ac:dyDescent="0.35">
      <c r="B308" s="57"/>
      <c r="C308" s="57"/>
    </row>
    <row r="309" spans="2:3" x14ac:dyDescent="0.35">
      <c r="B309" s="57"/>
      <c r="C309" s="57"/>
    </row>
    <row r="310" spans="2:3" x14ac:dyDescent="0.35">
      <c r="B310" s="57"/>
      <c r="C310" s="57"/>
    </row>
    <row r="311" spans="2:3" x14ac:dyDescent="0.35">
      <c r="B311" s="57"/>
      <c r="C311" s="57"/>
    </row>
    <row r="312" spans="2:3" x14ac:dyDescent="0.35">
      <c r="B312" s="57"/>
      <c r="C312" s="57"/>
    </row>
    <row r="313" spans="2:3" x14ac:dyDescent="0.35">
      <c r="B313" s="57"/>
      <c r="C313" s="57"/>
    </row>
    <row r="314" spans="2:3" x14ac:dyDescent="0.35">
      <c r="B314" s="57"/>
      <c r="C314" s="57"/>
    </row>
    <row r="315" spans="2:3" x14ac:dyDescent="0.35">
      <c r="B315" s="57"/>
      <c r="C315" s="57"/>
    </row>
    <row r="316" spans="2:3" x14ac:dyDescent="0.35">
      <c r="B316" s="57"/>
      <c r="C316" s="57"/>
    </row>
    <row r="317" spans="2:3" x14ac:dyDescent="0.35">
      <c r="B317" s="57"/>
      <c r="C317" s="57"/>
    </row>
    <row r="318" spans="2:3" x14ac:dyDescent="0.35">
      <c r="B318" s="57"/>
      <c r="C318" s="57"/>
    </row>
    <row r="319" spans="2:3" x14ac:dyDescent="0.35">
      <c r="B319" s="57"/>
      <c r="C319" s="57"/>
    </row>
    <row r="320" spans="2:3" x14ac:dyDescent="0.35">
      <c r="B320" s="57"/>
      <c r="C320" s="57"/>
    </row>
    <row r="321" spans="2:3" x14ac:dyDescent="0.35">
      <c r="B321" s="57"/>
      <c r="C321" s="57"/>
    </row>
    <row r="322" spans="2:3" x14ac:dyDescent="0.35">
      <c r="B322" s="57"/>
      <c r="C322" s="57"/>
    </row>
    <row r="323" spans="2:3" x14ac:dyDescent="0.35">
      <c r="B323" s="57"/>
      <c r="C323" s="57"/>
    </row>
    <row r="324" spans="2:3" x14ac:dyDescent="0.35">
      <c r="B324" s="57"/>
      <c r="C324" s="57"/>
    </row>
    <row r="325" spans="2:3" x14ac:dyDescent="0.35">
      <c r="B325" s="57"/>
      <c r="C325" s="57"/>
    </row>
    <row r="326" spans="2:3" x14ac:dyDescent="0.35">
      <c r="B326" s="57"/>
      <c r="C326" s="57"/>
    </row>
    <row r="327" spans="2:3" x14ac:dyDescent="0.35">
      <c r="B327" s="57"/>
      <c r="C327" s="57"/>
    </row>
    <row r="328" spans="2:3" x14ac:dyDescent="0.35">
      <c r="B328" s="57"/>
      <c r="C328" s="57"/>
    </row>
    <row r="329" spans="2:3" x14ac:dyDescent="0.35">
      <c r="B329" s="57"/>
      <c r="C329" s="57"/>
    </row>
    <row r="330" spans="2:3" x14ac:dyDescent="0.35">
      <c r="B330" s="57"/>
      <c r="C330" s="57"/>
    </row>
    <row r="331" spans="2:3" x14ac:dyDescent="0.35">
      <c r="B331" s="57"/>
      <c r="C331" s="57"/>
    </row>
    <row r="332" spans="2:3" x14ac:dyDescent="0.35">
      <c r="B332" s="57"/>
      <c r="C332" s="57"/>
    </row>
    <row r="333" spans="2:3" x14ac:dyDescent="0.35">
      <c r="B333" s="57"/>
      <c r="C333" s="57"/>
    </row>
    <row r="334" spans="2:3" x14ac:dyDescent="0.35">
      <c r="B334" s="57"/>
      <c r="C334" s="57"/>
    </row>
    <row r="335" spans="2:3" x14ac:dyDescent="0.35">
      <c r="B335" s="57"/>
      <c r="C335" s="57"/>
    </row>
    <row r="336" spans="2:3" x14ac:dyDescent="0.35">
      <c r="B336" s="57"/>
      <c r="C336" s="57"/>
    </row>
    <row r="337" spans="2:3" x14ac:dyDescent="0.35">
      <c r="B337" s="57"/>
      <c r="C337" s="57"/>
    </row>
    <row r="338" spans="2:3" x14ac:dyDescent="0.35">
      <c r="B338" s="57"/>
      <c r="C338" s="57"/>
    </row>
    <row r="339" spans="2:3" x14ac:dyDescent="0.35">
      <c r="B339" s="57"/>
      <c r="C339" s="57"/>
    </row>
    <row r="340" spans="2:3" x14ac:dyDescent="0.35">
      <c r="B340" s="57"/>
      <c r="C340" s="57"/>
    </row>
    <row r="341" spans="2:3" x14ac:dyDescent="0.35">
      <c r="B341" s="57"/>
      <c r="C341" s="57"/>
    </row>
    <row r="342" spans="2:3" x14ac:dyDescent="0.35">
      <c r="B342" s="57"/>
      <c r="C342" s="57"/>
    </row>
    <row r="343" spans="2:3" x14ac:dyDescent="0.35">
      <c r="B343" s="57"/>
      <c r="C343" s="57"/>
    </row>
    <row r="344" spans="2:3" x14ac:dyDescent="0.35">
      <c r="B344" s="57"/>
      <c r="C344" s="57"/>
    </row>
    <row r="345" spans="2:3" x14ac:dyDescent="0.35">
      <c r="B345" s="57"/>
      <c r="C345" s="57"/>
    </row>
    <row r="346" spans="2:3" x14ac:dyDescent="0.35">
      <c r="B346" s="57"/>
      <c r="C346" s="57"/>
    </row>
    <row r="347" spans="2:3" x14ac:dyDescent="0.35">
      <c r="B347" s="57"/>
      <c r="C347" s="57"/>
    </row>
    <row r="348" spans="2:3" x14ac:dyDescent="0.35">
      <c r="B348" s="57"/>
      <c r="C348" s="57"/>
    </row>
    <row r="349" spans="2:3" x14ac:dyDescent="0.35">
      <c r="B349" s="57"/>
      <c r="C349" s="57"/>
    </row>
    <row r="350" spans="2:3" x14ac:dyDescent="0.35">
      <c r="B350" s="57"/>
      <c r="C350" s="57"/>
    </row>
    <row r="351" spans="2:3" x14ac:dyDescent="0.35">
      <c r="B351" s="57"/>
      <c r="C351" s="57"/>
    </row>
    <row r="352" spans="2:3" x14ac:dyDescent="0.35">
      <c r="B352" s="57"/>
      <c r="C352" s="57"/>
    </row>
    <row r="353" spans="2:15" x14ac:dyDescent="0.35">
      <c r="B353" s="57"/>
      <c r="C353" s="57"/>
    </row>
    <row r="354" spans="2:15" x14ac:dyDescent="0.35">
      <c r="B354" s="57"/>
      <c r="C354" s="57"/>
    </row>
    <row r="355" spans="2:15" x14ac:dyDescent="0.35">
      <c r="B355" s="57"/>
      <c r="C355" s="57"/>
    </row>
    <row r="356" spans="2:15" x14ac:dyDescent="0.35">
      <c r="B356" s="57"/>
      <c r="C356" s="57"/>
    </row>
    <row r="357" spans="2:15" x14ac:dyDescent="0.35">
      <c r="B357" s="57"/>
      <c r="C357" s="57"/>
    </row>
    <row r="358" spans="2:15" x14ac:dyDescent="0.35">
      <c r="B358" s="8" t="s">
        <v>68</v>
      </c>
      <c r="C358" s="8" t="s">
        <v>11</v>
      </c>
      <c r="K358" s="8" t="s">
        <v>68</v>
      </c>
      <c r="L358" s="53"/>
      <c r="M358" s="53"/>
      <c r="N358" s="53"/>
      <c r="O358" s="53"/>
    </row>
    <row r="359" spans="2:15" x14ac:dyDescent="0.35">
      <c r="B359" s="41" t="e">
        <f>+#REF!</f>
        <v>#REF!</v>
      </c>
      <c r="C359" s="22" t="e">
        <f>VLOOKUP($B359,#REF!,4,FALSE)</f>
        <v>#REF!</v>
      </c>
      <c r="K359" s="46">
        <v>28</v>
      </c>
      <c r="L359" s="53" t="e">
        <f t="shared" ref="L359:O361" si="83">IF($B359=L$18,$K359,0)</f>
        <v>#REF!</v>
      </c>
      <c r="M359" s="53" t="e">
        <f t="shared" si="83"/>
        <v>#REF!</v>
      </c>
      <c r="N359" s="53" t="e">
        <f t="shared" si="83"/>
        <v>#REF!</v>
      </c>
      <c r="O359" s="53" t="e">
        <f t="shared" si="83"/>
        <v>#REF!</v>
      </c>
    </row>
    <row r="360" spans="2:15" x14ac:dyDescent="0.35">
      <c r="B360" s="41" t="e">
        <f>+#REF!</f>
        <v>#REF!</v>
      </c>
      <c r="C360" s="22" t="e">
        <f>VLOOKUP($B360,#REF!,4,FALSE)</f>
        <v>#REF!</v>
      </c>
      <c r="K360" s="46">
        <v>22</v>
      </c>
      <c r="L360" s="53" t="e">
        <f t="shared" si="83"/>
        <v>#REF!</v>
      </c>
      <c r="M360" s="53" t="e">
        <f t="shared" si="83"/>
        <v>#REF!</v>
      </c>
      <c r="N360" s="53" t="e">
        <f t="shared" si="83"/>
        <v>#REF!</v>
      </c>
      <c r="O360" s="53" t="e">
        <f t="shared" si="83"/>
        <v>#REF!</v>
      </c>
    </row>
    <row r="361" spans="2:15" x14ac:dyDescent="0.35">
      <c r="B361" s="41" t="e">
        <f>+#REF!</f>
        <v>#REF!</v>
      </c>
      <c r="C361" s="22" t="e">
        <f>VLOOKUP($B361,#REF!,4,FALSE)</f>
        <v>#REF!</v>
      </c>
      <c r="K361" s="46">
        <v>18</v>
      </c>
      <c r="L361" s="53" t="e">
        <f t="shared" si="83"/>
        <v>#REF!</v>
      </c>
      <c r="M361" s="53" t="e">
        <f t="shared" si="83"/>
        <v>#REF!</v>
      </c>
      <c r="N361" s="53" t="e">
        <f t="shared" si="83"/>
        <v>#REF!</v>
      </c>
      <c r="O361" s="53" t="e">
        <f t="shared" si="83"/>
        <v>#REF!</v>
      </c>
    </row>
    <row r="362" spans="2:15" x14ac:dyDescent="0.35">
      <c r="B362" s="57"/>
      <c r="C362" s="57"/>
      <c r="L362" s="50" t="e">
        <f>SUM(L19:L361)</f>
        <v>#REF!</v>
      </c>
      <c r="M362" s="50" t="e">
        <f>SUM(M19:M361)</f>
        <v>#REF!</v>
      </c>
      <c r="N362" s="50" t="e">
        <f>SUM(N19:N361)</f>
        <v>#N/A</v>
      </c>
      <c r="O362" s="50" t="e">
        <f>SUM(O19:O361)</f>
        <v>#N/A</v>
      </c>
    </row>
    <row r="363" spans="2:15" x14ac:dyDescent="0.35">
      <c r="B363" s="57"/>
      <c r="C363" s="57"/>
    </row>
    <row r="364" spans="2:15" x14ac:dyDescent="0.35">
      <c r="B364" s="57"/>
      <c r="C364" s="57"/>
      <c r="E364" s="53" t="s">
        <v>79</v>
      </c>
      <c r="F364" s="53" t="str">
        <f>F4</f>
        <v>Kingfisher</v>
      </c>
      <c r="G364" s="53" t="str">
        <f>G4</f>
        <v>Tuks</v>
      </c>
      <c r="H364" s="53" t="str">
        <f>H4</f>
        <v>Cygnus</v>
      </c>
      <c r="I364" s="53" t="str">
        <f>I4</f>
        <v>Umlazi Sharks</v>
      </c>
      <c r="K364" s="53" t="s">
        <v>80</v>
      </c>
      <c r="L364" s="53">
        <f>L18</f>
        <v>0</v>
      </c>
      <c r="M364" s="53" t="str">
        <f>M18</f>
        <v>Novice 13 -1 5</v>
      </c>
      <c r="N364" s="53" t="str">
        <f>N18</f>
        <v>Kingfisher</v>
      </c>
      <c r="O364" s="53" t="str">
        <f>O18</f>
        <v>Tuks</v>
      </c>
    </row>
    <row r="365" spans="2:15" x14ac:dyDescent="0.35">
      <c r="B365" s="57"/>
      <c r="C365" s="57"/>
      <c r="E365" s="53" t="s">
        <v>78</v>
      </c>
      <c r="F365" s="53">
        <f>F252</f>
        <v>0</v>
      </c>
      <c r="G365" s="53">
        <f>G252</f>
        <v>0</v>
      </c>
      <c r="H365" s="53">
        <f>H252</f>
        <v>0</v>
      </c>
      <c r="I365" s="53">
        <f>I252</f>
        <v>0</v>
      </c>
      <c r="K365" s="53" t="s">
        <v>78</v>
      </c>
      <c r="L365" s="53" t="e">
        <f>L362</f>
        <v>#REF!</v>
      </c>
      <c r="M365" s="53" t="e">
        <f t="shared" ref="M365:O365" si="84">M362</f>
        <v>#REF!</v>
      </c>
      <c r="N365" s="53" t="e">
        <f t="shared" si="84"/>
        <v>#N/A</v>
      </c>
      <c r="O365" s="53" t="e">
        <f t="shared" si="84"/>
        <v>#N/A</v>
      </c>
    </row>
    <row r="366" spans="2:15" x14ac:dyDescent="0.35">
      <c r="B366" s="57"/>
      <c r="C366" s="57"/>
    </row>
  </sheetData>
  <pageMargins left="0.7" right="0.7" top="0.75" bottom="0.75" header="0.3" footer="0.3"/>
  <pageSetup paperSize="9" fitToHeight="0" orientation="landscape" horizontalDpi="4294967293" verticalDpi="4294967293" r:id="rId1"/>
  <rowBreaks count="4" manualBreakCount="4">
    <brk id="55" min="1" max="18" man="1"/>
    <brk id="171" min="1" max="18" man="1"/>
    <brk id="215" min="1" max="18" man="1"/>
    <brk id="243" min="1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" sqref="B1"/>
    </sheetView>
  </sheetViews>
  <sheetFormatPr defaultRowHeight="14.5" x14ac:dyDescent="0.35"/>
  <cols>
    <col min="1" max="1" width="16.81640625" bestFit="1" customWidth="1"/>
    <col min="2" max="2" width="9.54296875" customWidth="1"/>
  </cols>
  <sheetData>
    <row r="1" spans="1:6" x14ac:dyDescent="0.35">
      <c r="A1" s="12" t="s">
        <v>30</v>
      </c>
      <c r="B1" s="1">
        <v>1</v>
      </c>
      <c r="C1" s="1" t="str">
        <f>IFERROR(HLOOKUP($B1,#REF!,65,FALSE),"")</f>
        <v/>
      </c>
      <c r="D1" s="1"/>
      <c r="E1" s="1"/>
      <c r="F1" s="1"/>
    </row>
    <row r="2" spans="1:6" x14ac:dyDescent="0.35">
      <c r="A2" s="12" t="s">
        <v>32</v>
      </c>
      <c r="B2" s="1">
        <v>10</v>
      </c>
      <c r="C2" s="1" t="str">
        <f>IFERROR(HLOOKUP($B2,#REF!,65,FALSE),"")</f>
        <v/>
      </c>
      <c r="D2" s="1"/>
      <c r="E2" s="1"/>
      <c r="F2" s="1"/>
    </row>
    <row r="3" spans="1:6" x14ac:dyDescent="0.35">
      <c r="A3" s="12" t="s">
        <v>24</v>
      </c>
      <c r="B3" s="1">
        <v>3</v>
      </c>
      <c r="C3" s="1" t="str">
        <f>IFERROR(HLOOKUP($B3,#REF!,65,FALSE),"")</f>
        <v/>
      </c>
      <c r="D3" s="1"/>
      <c r="E3" s="1"/>
      <c r="F3" s="1"/>
    </row>
    <row r="4" spans="1:6" x14ac:dyDescent="0.35">
      <c r="A4" s="12" t="s">
        <v>28</v>
      </c>
      <c r="B4" s="1">
        <v>4</v>
      </c>
      <c r="C4" s="1" t="str">
        <f>IFERROR(HLOOKUP($B4,#REF!,65,FALSE),"")</f>
        <v/>
      </c>
      <c r="D4" s="1"/>
      <c r="E4" s="1"/>
      <c r="F4" s="1"/>
    </row>
    <row r="5" spans="1:6" x14ac:dyDescent="0.35">
      <c r="A5" s="12" t="s">
        <v>27</v>
      </c>
      <c r="B5" s="1">
        <v>5</v>
      </c>
      <c r="C5" s="1" t="str">
        <f>IFERROR(HLOOKUP($B5,#REF!,65,FALSE),"")</f>
        <v/>
      </c>
      <c r="D5" s="1"/>
      <c r="E5" s="1"/>
      <c r="F5" s="1"/>
    </row>
    <row r="6" spans="1:6" x14ac:dyDescent="0.35">
      <c r="A6" s="12" t="s">
        <v>25</v>
      </c>
      <c r="B6" s="1">
        <v>6</v>
      </c>
      <c r="C6" s="1" t="str">
        <f>IFERROR(HLOOKUP($B6,#REF!,65,FALSE),"")</f>
        <v/>
      </c>
      <c r="D6" s="1"/>
      <c r="E6" s="1"/>
      <c r="F6" s="1"/>
    </row>
    <row r="7" spans="1:6" x14ac:dyDescent="0.35">
      <c r="A7" s="12" t="s">
        <v>26</v>
      </c>
      <c r="B7" s="1">
        <v>7</v>
      </c>
      <c r="C7" s="1" t="str">
        <f>IFERROR(HLOOKUP($B7,#REF!,65,FALSE),"")</f>
        <v/>
      </c>
      <c r="D7" s="1"/>
      <c r="E7" s="1"/>
      <c r="F7" s="1"/>
    </row>
    <row r="8" spans="1:6" x14ac:dyDescent="0.35">
      <c r="A8" s="12" t="s">
        <v>29</v>
      </c>
      <c r="B8" s="1">
        <v>8</v>
      </c>
      <c r="C8" s="1" t="str">
        <f>IFERROR(HLOOKUP($B8,#REF!,65,FALSE),"")</f>
        <v/>
      </c>
      <c r="D8" s="1"/>
      <c r="E8" s="1"/>
      <c r="F8" s="1"/>
    </row>
    <row r="9" spans="1:6" x14ac:dyDescent="0.35">
      <c r="A9" s="12" t="s">
        <v>31</v>
      </c>
      <c r="B9" s="1">
        <v>9</v>
      </c>
      <c r="C9" s="1" t="str">
        <f>IFERROR(HLOOKUP($B9,#REF!,65,FALSE),"")</f>
        <v/>
      </c>
      <c r="D9" s="1"/>
      <c r="E9" s="1"/>
      <c r="F9" s="1"/>
    </row>
    <row r="10" spans="1:6" x14ac:dyDescent="0.35">
      <c r="A10" s="12" t="s">
        <v>32</v>
      </c>
      <c r="B10" s="1">
        <v>10</v>
      </c>
      <c r="C10" s="1" t="str">
        <f>IFERROR(HLOOKUP($B10,#REF!,65,FALSE),"")</f>
        <v/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C12" workbookViewId="0">
      <selection activeCell="L26" sqref="L26"/>
    </sheetView>
  </sheetViews>
  <sheetFormatPr defaultColWidth="9.1796875" defaultRowHeight="14.5" x14ac:dyDescent="0.35"/>
  <cols>
    <col min="1" max="2" width="9.1796875" style="2" hidden="1" customWidth="1"/>
    <col min="3" max="3" width="6" style="2" customWidth="1"/>
    <col min="4" max="4" width="26.81640625" style="2" bestFit="1" customWidth="1"/>
    <col min="5" max="5" width="19.54296875" style="2" customWidth="1"/>
    <col min="6" max="7" width="11.54296875" style="2" customWidth="1"/>
    <col min="8" max="8" width="13.453125" style="2" customWidth="1"/>
    <col min="9" max="9" width="19" style="2" customWidth="1"/>
    <col min="10" max="10" width="12.81640625" style="2" customWidth="1"/>
    <col min="11" max="11" width="12.54296875" style="2" customWidth="1"/>
    <col min="12" max="12" width="13.1796875" style="2" bestFit="1" customWidth="1"/>
    <col min="13" max="16384" width="9.1796875" style="2"/>
  </cols>
  <sheetData>
    <row r="1" spans="1:20" x14ac:dyDescent="0.35">
      <c r="D1" s="65" t="s">
        <v>3</v>
      </c>
      <c r="E1" s="66" t="s">
        <v>7</v>
      </c>
      <c r="F1" s="66" t="s">
        <v>4</v>
      </c>
      <c r="H1" s="60" t="s">
        <v>14</v>
      </c>
      <c r="I1" s="82"/>
    </row>
    <row r="2" spans="1:20" ht="15.5" x14ac:dyDescent="0.35">
      <c r="D2" s="78" t="s">
        <v>137</v>
      </c>
      <c r="E2" s="79">
        <v>101</v>
      </c>
      <c r="F2" s="79">
        <v>1.6</v>
      </c>
      <c r="H2" s="60" t="s">
        <v>15</v>
      </c>
      <c r="I2" s="82"/>
      <c r="K2" s="67"/>
    </row>
    <row r="3" spans="1:20" ht="15.5" x14ac:dyDescent="0.35">
      <c r="D3" s="78" t="s">
        <v>138</v>
      </c>
      <c r="E3" s="79">
        <v>320</v>
      </c>
      <c r="F3" s="79">
        <v>1.7</v>
      </c>
      <c r="H3" s="60" t="s">
        <v>16</v>
      </c>
      <c r="I3" s="82"/>
      <c r="K3" s="68"/>
    </row>
    <row r="4" spans="1:20" ht="15.5" x14ac:dyDescent="0.35">
      <c r="D4" s="78" t="s">
        <v>139</v>
      </c>
      <c r="E4" s="79">
        <v>302</v>
      </c>
      <c r="F4" s="79">
        <v>1.4</v>
      </c>
      <c r="H4" s="60" t="s">
        <v>17</v>
      </c>
      <c r="I4" s="82"/>
      <c r="K4" s="68"/>
      <c r="N4" s="69"/>
    </row>
    <row r="5" spans="1:20" ht="15.5" x14ac:dyDescent="0.35">
      <c r="D5" s="78" t="s">
        <v>140</v>
      </c>
      <c r="E5" s="79">
        <v>310</v>
      </c>
      <c r="F5" s="79">
        <v>1.1000000000000001</v>
      </c>
      <c r="K5" s="68"/>
      <c r="N5" s="69"/>
    </row>
    <row r="6" spans="1:20" ht="15.5" x14ac:dyDescent="0.35">
      <c r="D6" s="59" t="s">
        <v>5</v>
      </c>
      <c r="E6" s="66"/>
      <c r="F6" s="66">
        <f>SUM(F2:F5)</f>
        <v>5.7999999999999989</v>
      </c>
      <c r="G6" s="70"/>
      <c r="K6" s="68"/>
      <c r="N6" s="69"/>
    </row>
    <row r="7" spans="1:20" ht="15.5" x14ac:dyDescent="0.35">
      <c r="K7" s="71"/>
      <c r="M7" s="72"/>
      <c r="O7" s="68"/>
      <c r="S7" s="68"/>
    </row>
    <row r="8" spans="1:20" ht="15.5" x14ac:dyDescent="0.35">
      <c r="M8" s="72"/>
      <c r="O8" s="68"/>
      <c r="S8" s="68"/>
    </row>
    <row r="9" spans="1:20" ht="15.5" x14ac:dyDescent="0.35">
      <c r="M9" s="72"/>
      <c r="O9" s="68"/>
      <c r="S9" s="68"/>
    </row>
    <row r="10" spans="1:20" ht="15.5" x14ac:dyDescent="0.35">
      <c r="D10" s="80" t="s">
        <v>0</v>
      </c>
      <c r="E10" s="9" t="s">
        <v>159</v>
      </c>
      <c r="G10" s="87" t="s">
        <v>136</v>
      </c>
      <c r="M10" s="72"/>
      <c r="O10" s="68"/>
      <c r="S10" s="68"/>
    </row>
    <row r="11" spans="1:20" ht="15.5" x14ac:dyDescent="0.35">
      <c r="D11" s="80" t="s">
        <v>19</v>
      </c>
      <c r="E11" s="9" t="s">
        <v>160</v>
      </c>
      <c r="M11" s="72"/>
      <c r="O11" s="68"/>
      <c r="S11" s="68"/>
    </row>
    <row r="12" spans="1:20" ht="15.5" x14ac:dyDescent="0.35">
      <c r="D12" s="80" t="s">
        <v>1</v>
      </c>
      <c r="E12" s="9" t="s">
        <v>135</v>
      </c>
      <c r="M12" s="72"/>
      <c r="O12" s="68"/>
      <c r="S12" s="68"/>
    </row>
    <row r="13" spans="1:20" ht="15.5" x14ac:dyDescent="0.35">
      <c r="M13" s="68"/>
      <c r="O13" s="68"/>
      <c r="T13" s="68"/>
    </row>
    <row r="14" spans="1:20" ht="15.5" x14ac:dyDescent="0.35">
      <c r="C14" s="80" t="s">
        <v>6</v>
      </c>
      <c r="D14" s="65" t="s">
        <v>62</v>
      </c>
      <c r="E14" s="65" t="s">
        <v>134</v>
      </c>
      <c r="F14" s="66" t="s">
        <v>11</v>
      </c>
      <c r="G14" s="66" t="s">
        <v>61</v>
      </c>
      <c r="H14" s="66" t="s">
        <v>21</v>
      </c>
      <c r="I14" s="66" t="s">
        <v>22</v>
      </c>
      <c r="J14" s="66" t="s">
        <v>23</v>
      </c>
      <c r="M14" s="68"/>
      <c r="O14" s="68"/>
      <c r="T14" s="68"/>
    </row>
    <row r="15" spans="1:20" ht="15.5" x14ac:dyDescent="0.35">
      <c r="A15" s="2">
        <f>G15</f>
        <v>1</v>
      </c>
      <c r="B15" s="2">
        <f>J15</f>
        <v>1</v>
      </c>
      <c r="C15" s="83">
        <v>7</v>
      </c>
      <c r="D15" s="60" t="s">
        <v>89</v>
      </c>
      <c r="E15" s="60" t="s">
        <v>90</v>
      </c>
      <c r="F15" s="73">
        <f>IFERROR(HLOOKUP(C15,'U10 12 scores'!$B$3:$K$48,46,FALSE),"")</f>
        <v>39.204999999999998</v>
      </c>
      <c r="G15" s="74">
        <f>IF(F15&lt;&gt;"",RANK(F15,$F$15:$F$16,0),"")</f>
        <v>1</v>
      </c>
      <c r="H15" s="73">
        <f>VLOOKUP($D15,'U10 U12 Solos'!$B$14:$F$23,5,FALSE)</f>
        <v>35.767000000000003</v>
      </c>
      <c r="I15" s="73">
        <f t="shared" ref="I15:I16" si="0">IFERROR(ROUND(+F15*0.5+H15*0.5,3),"")</f>
        <v>37.485999999999997</v>
      </c>
      <c r="J15" s="74">
        <f>IF(I15&lt;&gt;"",RANK(I15,$I$15:$I$16,0),"")</f>
        <v>1</v>
      </c>
      <c r="M15" s="68"/>
      <c r="O15" s="68"/>
      <c r="T15" s="68"/>
    </row>
    <row r="16" spans="1:20" ht="15.5" x14ac:dyDescent="0.35">
      <c r="A16" s="2">
        <f>G16</f>
        <v>2</v>
      </c>
      <c r="B16" s="2">
        <f>J16</f>
        <v>2</v>
      </c>
      <c r="C16" s="83">
        <v>6</v>
      </c>
      <c r="D16" s="60" t="s">
        <v>92</v>
      </c>
      <c r="E16" s="60" t="s">
        <v>93</v>
      </c>
      <c r="F16" s="73">
        <f>IFERROR(HLOOKUP(C16,'U10 12 scores'!$B$3:$K$48,46,FALSE),"")</f>
        <v>33.353000000000002</v>
      </c>
      <c r="G16" s="74">
        <f>IF(F16&lt;&gt;"",RANK(F16,$F$15:$F$16,0),"")</f>
        <v>2</v>
      </c>
      <c r="H16" s="73">
        <f>VLOOKUP($D16,'U10 U12 Solos'!$B$14:$F$23,5,FALSE)</f>
        <v>33.991999999999997</v>
      </c>
      <c r="I16" s="73">
        <f t="shared" si="0"/>
        <v>33.673000000000002</v>
      </c>
      <c r="J16" s="74">
        <f>IF(I16&lt;&gt;"",RANK(I16,$I$15:$I$16,0),"")</f>
        <v>2</v>
      </c>
      <c r="M16" s="68"/>
      <c r="O16" s="68"/>
      <c r="T16" s="68"/>
    </row>
    <row r="17" spans="1:20" ht="15.5" x14ac:dyDescent="0.35">
      <c r="C17" s="75"/>
      <c r="M17" s="68"/>
      <c r="O17" s="68"/>
      <c r="T17" s="68"/>
    </row>
    <row r="18" spans="1:20" ht="15.5" x14ac:dyDescent="0.35">
      <c r="C18" s="75"/>
      <c r="M18" s="68"/>
      <c r="O18" s="68"/>
      <c r="T18" s="68"/>
    </row>
    <row r="19" spans="1:20" ht="15.5" x14ac:dyDescent="0.35">
      <c r="C19" s="75"/>
      <c r="D19" s="59" t="s">
        <v>0</v>
      </c>
      <c r="E19" s="9" t="str">
        <f>+E10</f>
        <v>SSA Level 1</v>
      </c>
      <c r="M19" s="68"/>
      <c r="O19" s="68"/>
      <c r="T19" s="68"/>
    </row>
    <row r="20" spans="1:20" ht="15.5" x14ac:dyDescent="0.35">
      <c r="C20" s="75"/>
      <c r="D20" s="59" t="s">
        <v>19</v>
      </c>
      <c r="E20" s="9" t="str">
        <f>+E11</f>
        <v>12 - 13 March 2016</v>
      </c>
      <c r="M20" s="68"/>
      <c r="O20" s="68"/>
      <c r="T20" s="68"/>
    </row>
    <row r="21" spans="1:20" ht="15.5" x14ac:dyDescent="0.35">
      <c r="C21" s="75"/>
      <c r="D21" s="59" t="s">
        <v>1</v>
      </c>
      <c r="E21" s="9" t="s">
        <v>141</v>
      </c>
      <c r="M21" s="68"/>
      <c r="O21" s="68"/>
      <c r="T21" s="68"/>
    </row>
    <row r="22" spans="1:20" ht="15.5" x14ac:dyDescent="0.35">
      <c r="C22" s="75"/>
      <c r="M22" s="68"/>
      <c r="O22" s="68"/>
      <c r="T22" s="68"/>
    </row>
    <row r="23" spans="1:20" ht="15.5" x14ac:dyDescent="0.35">
      <c r="C23" s="81" t="s">
        <v>6</v>
      </c>
      <c r="D23" s="65" t="s">
        <v>62</v>
      </c>
      <c r="E23" s="65" t="s">
        <v>134</v>
      </c>
      <c r="F23" s="66" t="s">
        <v>11</v>
      </c>
      <c r="G23" s="66" t="s">
        <v>61</v>
      </c>
      <c r="H23" s="66" t="s">
        <v>21</v>
      </c>
      <c r="I23" s="66" t="s">
        <v>22</v>
      </c>
      <c r="J23" s="66" t="s">
        <v>23</v>
      </c>
      <c r="M23" s="72"/>
      <c r="O23" s="68"/>
      <c r="T23" s="68"/>
    </row>
    <row r="24" spans="1:20" x14ac:dyDescent="0.35">
      <c r="A24" s="2">
        <f t="shared" ref="A24:A31" si="1">G24</f>
        <v>4</v>
      </c>
      <c r="B24" s="2">
        <f t="shared" ref="B24:B31" si="2">J24</f>
        <v>5</v>
      </c>
      <c r="C24" s="83">
        <v>5</v>
      </c>
      <c r="D24" s="60" t="s">
        <v>95</v>
      </c>
      <c r="E24" s="60" t="s">
        <v>96</v>
      </c>
      <c r="F24" s="73">
        <f>IFERROR(HLOOKUP(C24,'U10 12 scores'!$B$3:$K$48,46,FALSE),"")</f>
        <v>38.737000000000002</v>
      </c>
      <c r="G24" s="74">
        <f>IF(F24&lt;&gt;"",RANK(F24,$F$24:$F$31,0),"")</f>
        <v>4</v>
      </c>
      <c r="H24" s="73">
        <f>VLOOKUP($D24,'U10 U12 Solos'!$B$14:$F$23,5,FALSE)</f>
        <v>35.908000000000001</v>
      </c>
      <c r="I24" s="73">
        <f t="shared" ref="I24:I31" si="3">IFERROR(ROUND(+F24*0.5+H24*0.5,3),"")</f>
        <v>37.323</v>
      </c>
      <c r="J24" s="74">
        <f t="shared" ref="J24:J31" si="4">IF(I24&lt;&gt;"",RANK(I24,$I$24:$I$31,0),"")</f>
        <v>5</v>
      </c>
    </row>
    <row r="25" spans="1:20" x14ac:dyDescent="0.35">
      <c r="A25" s="2">
        <f t="shared" si="1"/>
        <v>7</v>
      </c>
      <c r="B25" s="2">
        <f t="shared" si="2"/>
        <v>8</v>
      </c>
      <c r="C25" s="83">
        <v>9</v>
      </c>
      <c r="D25" s="60" t="s">
        <v>98</v>
      </c>
      <c r="E25" s="60" t="s">
        <v>96</v>
      </c>
      <c r="F25" s="73">
        <f>IFERROR(HLOOKUP(C25,'U10 12 scores'!$B$3:$K$48,46,FALSE),"")</f>
        <v>36.319000000000003</v>
      </c>
      <c r="G25" s="74">
        <f t="shared" ref="G25:G31" si="5">IF(F25&lt;&gt;"",RANK(F25,$F$24:$F$31,0),"")</f>
        <v>7</v>
      </c>
      <c r="H25" s="73">
        <f>VLOOKUP($D25,'U10 U12 Solos'!$B$14:$F$23,5,FALSE)</f>
        <v>34.341999999999999</v>
      </c>
      <c r="I25" s="73">
        <f t="shared" si="3"/>
        <v>35.331000000000003</v>
      </c>
      <c r="J25" s="74">
        <f t="shared" si="4"/>
        <v>8</v>
      </c>
    </row>
    <row r="26" spans="1:20" x14ac:dyDescent="0.35">
      <c r="A26" s="2">
        <f t="shared" si="1"/>
        <v>5</v>
      </c>
      <c r="B26" s="2">
        <f t="shared" si="2"/>
        <v>4</v>
      </c>
      <c r="C26" s="83">
        <v>4</v>
      </c>
      <c r="D26" s="60" t="s">
        <v>100</v>
      </c>
      <c r="E26" s="60" t="s">
        <v>101</v>
      </c>
      <c r="F26" s="73">
        <f>IFERROR(HLOOKUP(C26,'U10 12 scores'!$B$3:$K$48,46,FALSE),"")</f>
        <v>38.723999999999997</v>
      </c>
      <c r="G26" s="74">
        <f t="shared" si="5"/>
        <v>5</v>
      </c>
      <c r="H26" s="73">
        <f>VLOOKUP($D26,'U10 U12 Solos'!$B$14:$F$23,5,FALSE)</f>
        <v>40.317</v>
      </c>
      <c r="I26" s="73">
        <f t="shared" si="3"/>
        <v>39.521000000000001</v>
      </c>
      <c r="J26" s="74">
        <f t="shared" si="4"/>
        <v>4</v>
      </c>
    </row>
    <row r="27" spans="1:20" x14ac:dyDescent="0.35">
      <c r="A27" s="2">
        <f t="shared" si="1"/>
        <v>6</v>
      </c>
      <c r="B27" s="2">
        <f t="shared" si="2"/>
        <v>7</v>
      </c>
      <c r="C27" s="83">
        <v>1</v>
      </c>
      <c r="D27" s="60" t="s">
        <v>102</v>
      </c>
      <c r="E27" s="60" t="s">
        <v>101</v>
      </c>
      <c r="F27" s="73">
        <f>IFERROR(HLOOKUP(C27,'U10 12 scores'!$B$3:$K$48,46,FALSE),"")</f>
        <v>37.783999999999999</v>
      </c>
      <c r="G27" s="74">
        <f t="shared" si="5"/>
        <v>6</v>
      </c>
      <c r="H27" s="73">
        <f>VLOOKUP($D27,'U10 U12 Solos'!$B$14:$F$23,5,FALSE)</f>
        <v>34.799999999999997</v>
      </c>
      <c r="I27" s="73">
        <f t="shared" si="3"/>
        <v>36.292000000000002</v>
      </c>
      <c r="J27" s="74">
        <f t="shared" si="4"/>
        <v>7</v>
      </c>
    </row>
    <row r="28" spans="1:20" x14ac:dyDescent="0.35">
      <c r="A28" s="2">
        <f t="shared" si="1"/>
        <v>3</v>
      </c>
      <c r="B28" s="2">
        <f t="shared" si="2"/>
        <v>3</v>
      </c>
      <c r="C28" s="83">
        <v>3</v>
      </c>
      <c r="D28" s="60" t="s">
        <v>103</v>
      </c>
      <c r="E28" s="60" t="s">
        <v>101</v>
      </c>
      <c r="F28" s="73">
        <f>IFERROR(HLOOKUP(C28,'U10 12 scores'!$B$3:$K$48,46,FALSE),"")</f>
        <v>42.841000000000001</v>
      </c>
      <c r="G28" s="74">
        <f t="shared" si="5"/>
        <v>3</v>
      </c>
      <c r="H28" s="73">
        <f>VLOOKUP($D28,'U10 U12 Solos'!$B$14:$F$23,5,FALSE)</f>
        <v>38.917000000000002</v>
      </c>
      <c r="I28" s="73">
        <f t="shared" si="3"/>
        <v>40.878999999999998</v>
      </c>
      <c r="J28" s="74">
        <f t="shared" si="4"/>
        <v>3</v>
      </c>
    </row>
    <row r="29" spans="1:20" x14ac:dyDescent="0.35">
      <c r="A29" s="2">
        <f t="shared" si="1"/>
        <v>1</v>
      </c>
      <c r="B29" s="2">
        <f t="shared" si="2"/>
        <v>1</v>
      </c>
      <c r="C29" s="83">
        <v>2</v>
      </c>
      <c r="D29" s="60" t="s">
        <v>104</v>
      </c>
      <c r="E29" s="60" t="s">
        <v>105</v>
      </c>
      <c r="F29" s="73">
        <f>IFERROR(HLOOKUP(C29,'U10 12 scores'!$B$3:$K$48,46,FALSE),"")</f>
        <v>47.323</v>
      </c>
      <c r="G29" s="74">
        <f t="shared" si="5"/>
        <v>1</v>
      </c>
      <c r="H29" s="73">
        <f>VLOOKUP($D29,'U10 U12 Solos'!$B$14:$F$23,5,FALSE)</f>
        <v>46.283000000000001</v>
      </c>
      <c r="I29" s="73">
        <f t="shared" si="3"/>
        <v>46.802999999999997</v>
      </c>
      <c r="J29" s="74">
        <f t="shared" si="4"/>
        <v>1</v>
      </c>
    </row>
    <row r="30" spans="1:20" x14ac:dyDescent="0.35">
      <c r="A30" s="2">
        <f t="shared" si="1"/>
        <v>2</v>
      </c>
      <c r="B30" s="2">
        <f t="shared" si="2"/>
        <v>2</v>
      </c>
      <c r="C30" s="83">
        <v>10</v>
      </c>
      <c r="D30" s="60" t="s">
        <v>106</v>
      </c>
      <c r="E30" s="60" t="s">
        <v>93</v>
      </c>
      <c r="F30" s="73">
        <f>IFERROR(HLOOKUP(C30,'U10 12 scores'!$B$3:$K$48,46,FALSE),"")</f>
        <v>44.207000000000001</v>
      </c>
      <c r="G30" s="74">
        <f t="shared" si="5"/>
        <v>2</v>
      </c>
      <c r="H30" s="73">
        <f>VLOOKUP($D30,'U10 U12 Solos'!$B$14:$F$23,5,FALSE)</f>
        <v>41.725000000000001</v>
      </c>
      <c r="I30" s="73">
        <f t="shared" si="3"/>
        <v>42.966000000000001</v>
      </c>
      <c r="J30" s="74">
        <f t="shared" si="4"/>
        <v>2</v>
      </c>
    </row>
    <row r="31" spans="1:20" x14ac:dyDescent="0.35">
      <c r="A31" s="2">
        <f t="shared" si="1"/>
        <v>7</v>
      </c>
      <c r="B31" s="2">
        <f t="shared" si="2"/>
        <v>6</v>
      </c>
      <c r="C31" s="83">
        <v>8</v>
      </c>
      <c r="D31" s="60" t="s">
        <v>173</v>
      </c>
      <c r="E31" s="60" t="s">
        <v>93</v>
      </c>
      <c r="F31" s="73">
        <f>IFERROR(HLOOKUP(C31,'U10 12 scores'!$B$3:$K$48,46,FALSE),"")</f>
        <v>36.319000000000003</v>
      </c>
      <c r="G31" s="74">
        <f t="shared" si="5"/>
        <v>7</v>
      </c>
      <c r="H31" s="73">
        <f>VLOOKUP($D31,'U10 U12 Solos'!$B$14:$F$23,5,FALSE)</f>
        <v>36.549999999999997</v>
      </c>
      <c r="I31" s="73">
        <f t="shared" si="3"/>
        <v>36.435000000000002</v>
      </c>
      <c r="J31" s="74">
        <f t="shared" si="4"/>
        <v>6</v>
      </c>
    </row>
    <row r="32" spans="1:20" x14ac:dyDescent="0.35">
      <c r="J32" s="75"/>
      <c r="K32" s="75"/>
      <c r="L32" s="75"/>
    </row>
  </sheetData>
  <sheetProtection selectLockedCells="1"/>
  <sortState ref="C13:J26">
    <sortCondition ref="G13:G26"/>
  </sortState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selection activeCell="I15" sqref="I15"/>
    </sheetView>
  </sheetViews>
  <sheetFormatPr defaultColWidth="9.1796875" defaultRowHeight="14.5" outlineLevelRow="1" x14ac:dyDescent="0.35"/>
  <cols>
    <col min="1" max="1" width="20.54296875" style="2" bestFit="1" customWidth="1"/>
    <col min="2" max="11" width="10.7265625" style="2" customWidth="1"/>
    <col min="12" max="16384" width="9.1796875" style="2"/>
  </cols>
  <sheetData>
    <row r="1" spans="1:11" ht="21" x14ac:dyDescent="0.5">
      <c r="A1" s="43" t="s">
        <v>163</v>
      </c>
      <c r="B1" s="43" t="s">
        <v>156</v>
      </c>
    </row>
    <row r="3" spans="1:11" outlineLevel="1" x14ac:dyDescent="0.35">
      <c r="A3" s="59" t="str">
        <f>'U10 U12'!D2</f>
        <v>Ballet Leg</v>
      </c>
      <c r="B3" s="84">
        <v>1</v>
      </c>
      <c r="C3" s="59">
        <v>2</v>
      </c>
      <c r="D3" s="59">
        <v>3</v>
      </c>
      <c r="E3" s="59">
        <v>4</v>
      </c>
      <c r="F3" s="59">
        <v>5</v>
      </c>
      <c r="G3" s="59">
        <v>6</v>
      </c>
      <c r="H3" s="59">
        <v>7</v>
      </c>
      <c r="I3" s="59">
        <v>8</v>
      </c>
      <c r="J3" s="59">
        <v>9</v>
      </c>
      <c r="K3" s="59">
        <v>10</v>
      </c>
    </row>
    <row r="4" spans="1:11" outlineLevel="1" x14ac:dyDescent="0.35">
      <c r="A4" s="60" t="s">
        <v>14</v>
      </c>
      <c r="B4" s="82">
        <v>4</v>
      </c>
      <c r="C4" s="82">
        <v>4.3</v>
      </c>
      <c r="D4" s="82">
        <v>3.6</v>
      </c>
      <c r="E4" s="82">
        <v>4</v>
      </c>
      <c r="F4" s="82">
        <v>4</v>
      </c>
      <c r="G4" s="82">
        <v>3.3</v>
      </c>
      <c r="H4" s="82">
        <v>3.5</v>
      </c>
      <c r="I4" s="82">
        <v>4.0999999999999996</v>
      </c>
      <c r="J4" s="82">
        <v>3.7</v>
      </c>
      <c r="K4" s="82">
        <v>4.2</v>
      </c>
    </row>
    <row r="5" spans="1:11" outlineLevel="1" x14ac:dyDescent="0.35">
      <c r="A5" s="60" t="s">
        <v>15</v>
      </c>
      <c r="B5" s="82">
        <v>4.0999999999999996</v>
      </c>
      <c r="C5" s="82">
        <v>4.3</v>
      </c>
      <c r="D5" s="82">
        <v>4</v>
      </c>
      <c r="E5" s="82">
        <v>3.6</v>
      </c>
      <c r="F5" s="82">
        <v>4</v>
      </c>
      <c r="G5" s="82">
        <v>3.3</v>
      </c>
      <c r="H5" s="82">
        <v>4</v>
      </c>
      <c r="I5" s="82">
        <v>3.8</v>
      </c>
      <c r="J5" s="82">
        <v>3.9</v>
      </c>
      <c r="K5" s="82">
        <v>4.2</v>
      </c>
    </row>
    <row r="6" spans="1:11" outlineLevel="1" x14ac:dyDescent="0.35">
      <c r="A6" s="60" t="s">
        <v>16</v>
      </c>
      <c r="B6" s="82">
        <v>3.8</v>
      </c>
      <c r="C6" s="82">
        <v>4.7</v>
      </c>
      <c r="D6" s="82">
        <v>4.2</v>
      </c>
      <c r="E6" s="82">
        <v>3.5</v>
      </c>
      <c r="F6" s="82">
        <v>3.3</v>
      </c>
      <c r="G6" s="82">
        <v>2.9</v>
      </c>
      <c r="H6" s="82">
        <v>4</v>
      </c>
      <c r="I6" s="82">
        <v>3.3</v>
      </c>
      <c r="J6" s="82">
        <v>3.7</v>
      </c>
      <c r="K6" s="82">
        <v>4.0999999999999996</v>
      </c>
    </row>
    <row r="7" spans="1:11" outlineLevel="1" x14ac:dyDescent="0.35">
      <c r="A7" s="60" t="s">
        <v>17</v>
      </c>
      <c r="B7" s="82">
        <v>3.5</v>
      </c>
      <c r="C7" s="82">
        <v>4.5</v>
      </c>
      <c r="D7" s="82">
        <v>4</v>
      </c>
      <c r="E7" s="82">
        <v>3.7</v>
      </c>
      <c r="F7" s="82">
        <v>4</v>
      </c>
      <c r="G7" s="82">
        <v>3.3</v>
      </c>
      <c r="H7" s="82">
        <v>4</v>
      </c>
      <c r="I7" s="82">
        <v>3.8</v>
      </c>
      <c r="J7" s="82">
        <v>3.5</v>
      </c>
      <c r="K7" s="82">
        <v>4.5</v>
      </c>
    </row>
    <row r="8" spans="1:11" outlineLevel="1" x14ac:dyDescent="0.35">
      <c r="A8" s="60" t="s">
        <v>18</v>
      </c>
      <c r="B8" s="76">
        <f>IFERROR(AVERAGE(B4:B7),"")</f>
        <v>3.8499999999999996</v>
      </c>
      <c r="C8" s="76">
        <f t="shared" ref="C8:K8" si="0">IFERROR(AVERAGE(C4:C7),"")</f>
        <v>4.45</v>
      </c>
      <c r="D8" s="76">
        <f t="shared" si="0"/>
        <v>3.95</v>
      </c>
      <c r="E8" s="76">
        <f t="shared" si="0"/>
        <v>3.7</v>
      </c>
      <c r="F8" s="76">
        <f t="shared" si="0"/>
        <v>3.8250000000000002</v>
      </c>
      <c r="G8" s="76">
        <f t="shared" si="0"/>
        <v>3.2</v>
      </c>
      <c r="H8" s="76">
        <f t="shared" si="0"/>
        <v>3.875</v>
      </c>
      <c r="I8" s="76">
        <f t="shared" si="0"/>
        <v>3.75</v>
      </c>
      <c r="J8" s="76">
        <f t="shared" si="0"/>
        <v>3.7</v>
      </c>
      <c r="K8" s="76">
        <f t="shared" si="0"/>
        <v>4.25</v>
      </c>
    </row>
    <row r="9" spans="1:11" outlineLevel="1" x14ac:dyDescent="0.35">
      <c r="A9" s="59" t="s">
        <v>8</v>
      </c>
      <c r="B9" s="60">
        <f t="shared" ref="B9:K9" si="1">+MAX(B4:B8)</f>
        <v>4.0999999999999996</v>
      </c>
      <c r="C9" s="60">
        <f t="shared" si="1"/>
        <v>4.7</v>
      </c>
      <c r="D9" s="60">
        <f t="shared" si="1"/>
        <v>4.2</v>
      </c>
      <c r="E9" s="60">
        <f t="shared" si="1"/>
        <v>4</v>
      </c>
      <c r="F9" s="60">
        <f t="shared" si="1"/>
        <v>4</v>
      </c>
      <c r="G9" s="60">
        <f t="shared" si="1"/>
        <v>3.3</v>
      </c>
      <c r="H9" s="60">
        <f t="shared" si="1"/>
        <v>4</v>
      </c>
      <c r="I9" s="60">
        <f t="shared" si="1"/>
        <v>4.0999999999999996</v>
      </c>
      <c r="J9" s="60">
        <f t="shared" si="1"/>
        <v>3.9</v>
      </c>
      <c r="K9" s="60">
        <f t="shared" si="1"/>
        <v>4.5</v>
      </c>
    </row>
    <row r="10" spans="1:11" outlineLevel="1" x14ac:dyDescent="0.35">
      <c r="A10" s="59" t="s">
        <v>9</v>
      </c>
      <c r="B10" s="60">
        <f t="shared" ref="B10:K10" si="2">+MIN(B4:B8)</f>
        <v>3.5</v>
      </c>
      <c r="C10" s="60">
        <f t="shared" si="2"/>
        <v>4.3</v>
      </c>
      <c r="D10" s="60">
        <f t="shared" si="2"/>
        <v>3.6</v>
      </c>
      <c r="E10" s="60">
        <f t="shared" si="2"/>
        <v>3.5</v>
      </c>
      <c r="F10" s="60">
        <f t="shared" si="2"/>
        <v>3.3</v>
      </c>
      <c r="G10" s="60">
        <f t="shared" si="2"/>
        <v>2.9</v>
      </c>
      <c r="H10" s="60">
        <f t="shared" si="2"/>
        <v>3.5</v>
      </c>
      <c r="I10" s="60">
        <f t="shared" si="2"/>
        <v>3.3</v>
      </c>
      <c r="J10" s="60">
        <f t="shared" si="2"/>
        <v>3.5</v>
      </c>
      <c r="K10" s="60">
        <f t="shared" si="2"/>
        <v>4.0999999999999996</v>
      </c>
    </row>
    <row r="11" spans="1:11" outlineLevel="1" x14ac:dyDescent="0.35">
      <c r="A11" s="59" t="s">
        <v>10</v>
      </c>
      <c r="B11" s="62">
        <f t="shared" ref="B11:K11" si="3">IFERROR((SUM(B4:B8)-B9-B10)/(COUNT(B4:B8)-2),0)</f>
        <v>3.8833333333333333</v>
      </c>
      <c r="C11" s="62">
        <f t="shared" si="3"/>
        <v>4.416666666666667</v>
      </c>
      <c r="D11" s="62">
        <f t="shared" si="3"/>
        <v>3.9833333333333338</v>
      </c>
      <c r="E11" s="62">
        <f t="shared" si="3"/>
        <v>3.6666666666666665</v>
      </c>
      <c r="F11" s="62">
        <f t="shared" si="3"/>
        <v>3.9416666666666664</v>
      </c>
      <c r="G11" s="62">
        <f t="shared" si="3"/>
        <v>3.2666666666666662</v>
      </c>
      <c r="H11" s="62">
        <f t="shared" si="3"/>
        <v>3.9583333333333335</v>
      </c>
      <c r="I11" s="62">
        <f t="shared" si="3"/>
        <v>3.7833333333333337</v>
      </c>
      <c r="J11" s="62">
        <f t="shared" si="3"/>
        <v>3.6999999999999997</v>
      </c>
      <c r="K11" s="62">
        <f t="shared" si="3"/>
        <v>4.2166666666666668</v>
      </c>
    </row>
    <row r="12" spans="1:11" outlineLevel="1" x14ac:dyDescent="0.35">
      <c r="A12" s="59" t="s">
        <v>11</v>
      </c>
      <c r="B12" s="63">
        <f>+B11*'U10 U12'!$F$2</f>
        <v>6.2133333333333338</v>
      </c>
      <c r="C12" s="63">
        <f>+C11*'U10 U12'!$F$2</f>
        <v>7.0666666666666673</v>
      </c>
      <c r="D12" s="63">
        <f>+D11*'U10 U12'!$F$2</f>
        <v>6.3733333333333348</v>
      </c>
      <c r="E12" s="63">
        <f>+E11*'U10 U12'!$F$2</f>
        <v>5.8666666666666671</v>
      </c>
      <c r="F12" s="63">
        <f>+F11*'U10 U12'!$F$2</f>
        <v>6.3066666666666666</v>
      </c>
      <c r="G12" s="63">
        <f>+G11*'U10 U12'!$F$2</f>
        <v>5.2266666666666666</v>
      </c>
      <c r="H12" s="63">
        <f>+H11*'U10 U12'!$F$2</f>
        <v>6.3333333333333339</v>
      </c>
      <c r="I12" s="63">
        <f>+I11*'U10 U12'!$F$2</f>
        <v>6.0533333333333346</v>
      </c>
      <c r="J12" s="63">
        <f>+J11*'U10 U12'!$F$2</f>
        <v>5.92</v>
      </c>
      <c r="K12" s="63">
        <f>+K11*'U10 U12'!$F$2</f>
        <v>6.746666666666667</v>
      </c>
    </row>
    <row r="14" spans="1:11" outlineLevel="1" x14ac:dyDescent="0.35">
      <c r="A14" s="59" t="str">
        <f>'U10 U12'!D3</f>
        <v>Front pike somersault</v>
      </c>
      <c r="B14" s="59">
        <v>1</v>
      </c>
      <c r="C14" s="59">
        <v>2</v>
      </c>
      <c r="D14" s="59">
        <v>3</v>
      </c>
      <c r="E14" s="85">
        <v>4</v>
      </c>
      <c r="F14" s="59">
        <v>5</v>
      </c>
      <c r="G14" s="59">
        <v>6</v>
      </c>
      <c r="H14" s="59">
        <v>7</v>
      </c>
      <c r="I14" s="59">
        <v>8</v>
      </c>
      <c r="J14" s="59">
        <v>9</v>
      </c>
      <c r="K14" s="59">
        <v>10</v>
      </c>
    </row>
    <row r="15" spans="1:11" outlineLevel="1" x14ac:dyDescent="0.35">
      <c r="A15" s="60" t="s">
        <v>14</v>
      </c>
      <c r="B15" s="82">
        <v>3.7</v>
      </c>
      <c r="C15" s="82">
        <v>3.6</v>
      </c>
      <c r="D15" s="82">
        <v>4.5</v>
      </c>
      <c r="E15" s="82">
        <v>4.3</v>
      </c>
      <c r="F15" s="82">
        <v>3.6</v>
      </c>
      <c r="G15" s="82">
        <v>3.5</v>
      </c>
      <c r="H15" s="82">
        <v>3.8</v>
      </c>
      <c r="I15" s="82">
        <v>4</v>
      </c>
      <c r="J15" s="82">
        <v>4</v>
      </c>
      <c r="K15" s="82">
        <v>4.5</v>
      </c>
    </row>
    <row r="16" spans="1:11" outlineLevel="1" x14ac:dyDescent="0.35">
      <c r="A16" s="60" t="s">
        <v>15</v>
      </c>
      <c r="B16" s="82">
        <v>3.8</v>
      </c>
      <c r="C16" s="82">
        <v>5</v>
      </c>
      <c r="D16" s="82">
        <v>4.3</v>
      </c>
      <c r="E16" s="82">
        <v>3.9</v>
      </c>
      <c r="F16" s="82">
        <v>3.4</v>
      </c>
      <c r="G16" s="82">
        <v>3.1</v>
      </c>
      <c r="H16" s="82">
        <v>3.8</v>
      </c>
      <c r="I16" s="82">
        <v>3.9</v>
      </c>
      <c r="J16" s="82">
        <v>3.7</v>
      </c>
      <c r="K16" s="82">
        <v>4.2</v>
      </c>
    </row>
    <row r="17" spans="1:11" outlineLevel="1" x14ac:dyDescent="0.35">
      <c r="A17" s="60" t="s">
        <v>16</v>
      </c>
      <c r="B17" s="82">
        <v>4</v>
      </c>
      <c r="C17" s="82">
        <v>4.9000000000000004</v>
      </c>
      <c r="D17" s="82">
        <v>4.5999999999999996</v>
      </c>
      <c r="E17" s="82">
        <v>4</v>
      </c>
      <c r="F17" s="82">
        <v>3.2</v>
      </c>
      <c r="G17" s="82">
        <v>3</v>
      </c>
      <c r="H17" s="82">
        <v>3.7</v>
      </c>
      <c r="I17" s="82">
        <v>3.8</v>
      </c>
      <c r="J17" s="82">
        <v>3.6</v>
      </c>
      <c r="K17" s="82">
        <v>4.4000000000000004</v>
      </c>
    </row>
    <row r="18" spans="1:11" outlineLevel="1" x14ac:dyDescent="0.35">
      <c r="A18" s="60" t="s">
        <v>17</v>
      </c>
      <c r="B18" s="82">
        <v>3.6</v>
      </c>
      <c r="C18" s="82">
        <v>5</v>
      </c>
      <c r="D18" s="82">
        <v>4.4000000000000004</v>
      </c>
      <c r="E18" s="82">
        <v>4.2</v>
      </c>
      <c r="F18" s="82">
        <v>3.9</v>
      </c>
      <c r="G18" s="82">
        <v>3.4</v>
      </c>
      <c r="H18" s="82">
        <v>3.9</v>
      </c>
      <c r="I18" s="82">
        <v>4</v>
      </c>
      <c r="J18" s="82">
        <v>3.9</v>
      </c>
      <c r="K18" s="82">
        <v>4.5</v>
      </c>
    </row>
    <row r="19" spans="1:11" outlineLevel="1" x14ac:dyDescent="0.35">
      <c r="A19" s="60" t="s">
        <v>18</v>
      </c>
      <c r="B19" s="76">
        <f>IFERROR(AVERAGE(B15:B18),"")</f>
        <v>3.7749999999999999</v>
      </c>
      <c r="C19" s="76">
        <f t="shared" ref="C19" si="4">IFERROR(AVERAGE(C15:C18),"")</f>
        <v>4.625</v>
      </c>
      <c r="D19" s="76">
        <f t="shared" ref="D19" si="5">IFERROR(AVERAGE(D15:D18),"")</f>
        <v>4.45</v>
      </c>
      <c r="E19" s="76">
        <f t="shared" ref="E19" si="6">IFERROR(AVERAGE(E15:E18),"")</f>
        <v>4.0999999999999996</v>
      </c>
      <c r="F19" s="76">
        <f t="shared" ref="F19" si="7">IFERROR(AVERAGE(F15:F18),"")</f>
        <v>3.5249999999999999</v>
      </c>
      <c r="G19" s="76">
        <f t="shared" ref="G19" si="8">IFERROR(AVERAGE(G15:G18),"")</f>
        <v>3.25</v>
      </c>
      <c r="H19" s="76">
        <f t="shared" ref="H19" si="9">IFERROR(AVERAGE(H15:H18),"")</f>
        <v>3.8000000000000003</v>
      </c>
      <c r="I19" s="76">
        <f t="shared" ref="I19" si="10">IFERROR(AVERAGE(I15:I18),"")</f>
        <v>3.9249999999999998</v>
      </c>
      <c r="J19" s="76">
        <f t="shared" ref="J19" si="11">IFERROR(AVERAGE(J15:J18),"")</f>
        <v>3.8000000000000003</v>
      </c>
      <c r="K19" s="76">
        <f t="shared" ref="K19" si="12">IFERROR(AVERAGE(K15:K18),"")</f>
        <v>4.4000000000000004</v>
      </c>
    </row>
    <row r="20" spans="1:11" outlineLevel="1" x14ac:dyDescent="0.35">
      <c r="A20" s="59" t="s">
        <v>8</v>
      </c>
      <c r="B20" s="60">
        <f t="shared" ref="B20:K20" si="13">+MAX(B15:B19)</f>
        <v>4</v>
      </c>
      <c r="C20" s="60">
        <f t="shared" si="13"/>
        <v>5</v>
      </c>
      <c r="D20" s="60">
        <f t="shared" si="13"/>
        <v>4.5999999999999996</v>
      </c>
      <c r="E20" s="60">
        <f t="shared" si="13"/>
        <v>4.3</v>
      </c>
      <c r="F20" s="60">
        <f t="shared" si="13"/>
        <v>3.9</v>
      </c>
      <c r="G20" s="60">
        <f t="shared" si="13"/>
        <v>3.5</v>
      </c>
      <c r="H20" s="60">
        <f t="shared" si="13"/>
        <v>3.9</v>
      </c>
      <c r="I20" s="60">
        <f t="shared" si="13"/>
        <v>4</v>
      </c>
      <c r="J20" s="60">
        <f t="shared" si="13"/>
        <v>4</v>
      </c>
      <c r="K20" s="60">
        <f t="shared" si="13"/>
        <v>4.5</v>
      </c>
    </row>
    <row r="21" spans="1:11" outlineLevel="1" x14ac:dyDescent="0.35">
      <c r="A21" s="59" t="s">
        <v>9</v>
      </c>
      <c r="B21" s="60">
        <f t="shared" ref="B21:K21" si="14">+MIN(B15:B19)</f>
        <v>3.6</v>
      </c>
      <c r="C21" s="60">
        <f t="shared" si="14"/>
        <v>3.6</v>
      </c>
      <c r="D21" s="60">
        <f t="shared" si="14"/>
        <v>4.3</v>
      </c>
      <c r="E21" s="60">
        <f t="shared" si="14"/>
        <v>3.9</v>
      </c>
      <c r="F21" s="60">
        <f t="shared" si="14"/>
        <v>3.2</v>
      </c>
      <c r="G21" s="60">
        <f t="shared" si="14"/>
        <v>3</v>
      </c>
      <c r="H21" s="60">
        <f t="shared" si="14"/>
        <v>3.7</v>
      </c>
      <c r="I21" s="60">
        <f t="shared" si="14"/>
        <v>3.8</v>
      </c>
      <c r="J21" s="60">
        <f t="shared" si="14"/>
        <v>3.6</v>
      </c>
      <c r="K21" s="60">
        <f t="shared" si="14"/>
        <v>4.2</v>
      </c>
    </row>
    <row r="22" spans="1:11" outlineLevel="1" x14ac:dyDescent="0.35">
      <c r="A22" s="59" t="s">
        <v>10</v>
      </c>
      <c r="B22" s="62">
        <f t="shared" ref="B22:K22" si="15">IFERROR((SUM(B15:B19)-B20-B21)/(COUNT(B15:B19)-2),0)</f>
        <v>3.7583333333333333</v>
      </c>
      <c r="C22" s="62">
        <f t="shared" si="15"/>
        <v>4.8416666666666668</v>
      </c>
      <c r="D22" s="62">
        <f t="shared" si="15"/>
        <v>4.4499999999999993</v>
      </c>
      <c r="E22" s="62">
        <f t="shared" si="15"/>
        <v>4.0999999999999996</v>
      </c>
      <c r="F22" s="62">
        <f t="shared" si="15"/>
        <v>3.5083333333333329</v>
      </c>
      <c r="G22" s="62">
        <f t="shared" si="15"/>
        <v>3.25</v>
      </c>
      <c r="H22" s="62">
        <f t="shared" si="15"/>
        <v>3.7999999999999994</v>
      </c>
      <c r="I22" s="62">
        <f t="shared" si="15"/>
        <v>3.9416666666666664</v>
      </c>
      <c r="J22" s="62">
        <f t="shared" si="15"/>
        <v>3.8000000000000003</v>
      </c>
      <c r="K22" s="62">
        <f t="shared" si="15"/>
        <v>4.4333333333333336</v>
      </c>
    </row>
    <row r="23" spans="1:11" outlineLevel="1" x14ac:dyDescent="0.35">
      <c r="A23" s="59" t="s">
        <v>11</v>
      </c>
      <c r="B23" s="63">
        <f>+B22*'U10 U12'!$F$3</f>
        <v>6.3891666666666662</v>
      </c>
      <c r="C23" s="63">
        <f>+C22*'U10 U12'!$F$3</f>
        <v>8.230833333333333</v>
      </c>
      <c r="D23" s="63">
        <f>+D22*'U10 U12'!$F$3</f>
        <v>7.5649999999999986</v>
      </c>
      <c r="E23" s="63">
        <f>+E22*'U10 U12'!$F$3</f>
        <v>6.9699999999999989</v>
      </c>
      <c r="F23" s="63">
        <f>+F22*'U10 U12'!$F$3</f>
        <v>5.9641666666666655</v>
      </c>
      <c r="G23" s="63">
        <f>+G22*'U10 U12'!$F$3</f>
        <v>5.5249999999999995</v>
      </c>
      <c r="H23" s="63">
        <f>+H22*'U10 U12'!$F$3</f>
        <v>6.4599999999999991</v>
      </c>
      <c r="I23" s="63">
        <f>+I22*'U10 U12'!$F$3</f>
        <v>6.7008333333333328</v>
      </c>
      <c r="J23" s="63">
        <f>+J22*'U10 U12'!$F$3</f>
        <v>6.46</v>
      </c>
      <c r="K23" s="63">
        <f>+K22*'U10 U12'!$F$3</f>
        <v>7.5366666666666671</v>
      </c>
    </row>
    <row r="25" spans="1:11" outlineLevel="1" x14ac:dyDescent="0.35">
      <c r="A25" s="59" t="str">
        <f>'U10 U12'!D4</f>
        <v>Blossom</v>
      </c>
      <c r="B25" s="59">
        <v>1</v>
      </c>
      <c r="C25" s="59">
        <v>2</v>
      </c>
      <c r="D25" s="59">
        <v>3</v>
      </c>
      <c r="E25" s="59">
        <v>4</v>
      </c>
      <c r="F25" s="59">
        <v>5</v>
      </c>
      <c r="G25" s="59">
        <v>6</v>
      </c>
      <c r="H25" s="85">
        <v>7</v>
      </c>
      <c r="I25" s="59">
        <v>8</v>
      </c>
      <c r="J25" s="59">
        <v>9</v>
      </c>
      <c r="K25" s="59">
        <v>10</v>
      </c>
    </row>
    <row r="26" spans="1:11" outlineLevel="1" x14ac:dyDescent="0.35">
      <c r="A26" s="60" t="s">
        <v>14</v>
      </c>
      <c r="B26" s="82">
        <v>3.5</v>
      </c>
      <c r="C26" s="82">
        <v>4.5</v>
      </c>
      <c r="D26" s="82">
        <v>4.3</v>
      </c>
      <c r="E26" s="82">
        <v>3.7</v>
      </c>
      <c r="F26" s="82">
        <v>4</v>
      </c>
      <c r="G26" s="82">
        <v>3</v>
      </c>
      <c r="H26" s="82">
        <v>4.0999999999999996</v>
      </c>
      <c r="I26" s="82">
        <v>3.4</v>
      </c>
      <c r="J26" s="82">
        <v>2.8</v>
      </c>
      <c r="K26" s="82">
        <v>4.5999999999999996</v>
      </c>
    </row>
    <row r="27" spans="1:11" outlineLevel="1" x14ac:dyDescent="0.35">
      <c r="A27" s="60" t="s">
        <v>15</v>
      </c>
      <c r="B27" s="82">
        <v>3.6</v>
      </c>
      <c r="C27" s="82">
        <v>4.5</v>
      </c>
      <c r="D27" s="82">
        <v>4</v>
      </c>
      <c r="E27" s="82">
        <v>3.7</v>
      </c>
      <c r="F27" s="82">
        <v>3.9</v>
      </c>
      <c r="G27" s="82">
        <v>3.2</v>
      </c>
      <c r="H27" s="82">
        <v>3.7</v>
      </c>
      <c r="I27" s="82">
        <v>2.9</v>
      </c>
      <c r="J27" s="82">
        <v>3.2</v>
      </c>
      <c r="K27" s="82">
        <v>4.3</v>
      </c>
    </row>
    <row r="28" spans="1:11" outlineLevel="1" x14ac:dyDescent="0.35">
      <c r="A28" s="60" t="s">
        <v>16</v>
      </c>
      <c r="B28" s="82">
        <v>3.2</v>
      </c>
      <c r="C28" s="82">
        <v>5</v>
      </c>
      <c r="D28" s="82">
        <v>4</v>
      </c>
      <c r="E28" s="82">
        <v>3.8</v>
      </c>
      <c r="F28" s="82">
        <v>3.6</v>
      </c>
      <c r="G28" s="82">
        <v>3.2</v>
      </c>
      <c r="H28" s="82">
        <v>3.5</v>
      </c>
      <c r="I28" s="82">
        <v>2.9</v>
      </c>
      <c r="J28" s="82">
        <v>3</v>
      </c>
      <c r="K28" s="82">
        <v>4.3</v>
      </c>
    </row>
    <row r="29" spans="1:11" outlineLevel="1" x14ac:dyDescent="0.35">
      <c r="A29" s="60" t="s">
        <v>17</v>
      </c>
      <c r="B29" s="82">
        <v>3.2</v>
      </c>
      <c r="C29" s="82">
        <v>5</v>
      </c>
      <c r="D29" s="82">
        <v>4.0999999999999996</v>
      </c>
      <c r="E29" s="82">
        <v>3.5</v>
      </c>
      <c r="F29" s="82">
        <v>3.7</v>
      </c>
      <c r="G29" s="82">
        <v>3.3</v>
      </c>
      <c r="H29" s="82">
        <v>3.8</v>
      </c>
      <c r="I29" s="82">
        <v>3</v>
      </c>
      <c r="J29" s="82">
        <v>3.4</v>
      </c>
      <c r="K29" s="82">
        <v>4.7</v>
      </c>
    </row>
    <row r="30" spans="1:11" outlineLevel="1" x14ac:dyDescent="0.35">
      <c r="A30" s="60" t="s">
        <v>18</v>
      </c>
      <c r="B30" s="76">
        <f>IFERROR(AVERAGE(B26:B29),"")</f>
        <v>3.375</v>
      </c>
      <c r="C30" s="76">
        <f t="shared" ref="C30" si="16">IFERROR(AVERAGE(C26:C29),"")</f>
        <v>4.75</v>
      </c>
      <c r="D30" s="76">
        <f t="shared" ref="D30" si="17">IFERROR(AVERAGE(D26:D29),"")</f>
        <v>4.0999999999999996</v>
      </c>
      <c r="E30" s="76">
        <f t="shared" ref="E30" si="18">IFERROR(AVERAGE(E26:E29),"")</f>
        <v>3.6749999999999998</v>
      </c>
      <c r="F30" s="76">
        <f t="shared" ref="F30" si="19">IFERROR(AVERAGE(F26:F29),"")</f>
        <v>3.8</v>
      </c>
      <c r="G30" s="76">
        <f t="shared" ref="G30" si="20">IFERROR(AVERAGE(G26:G29),"")</f>
        <v>3.1749999999999998</v>
      </c>
      <c r="H30" s="76">
        <f t="shared" ref="H30" si="21">IFERROR(AVERAGE(H26:H29),"")</f>
        <v>3.7750000000000004</v>
      </c>
      <c r="I30" s="76">
        <f t="shared" ref="I30" si="22">IFERROR(AVERAGE(I26:I29),"")</f>
        <v>3.05</v>
      </c>
      <c r="J30" s="76">
        <f t="shared" ref="J30" si="23">IFERROR(AVERAGE(J26:J29),"")</f>
        <v>3.1</v>
      </c>
      <c r="K30" s="76">
        <f t="shared" ref="K30" si="24">IFERROR(AVERAGE(K26:K29),"")</f>
        <v>4.4749999999999996</v>
      </c>
    </row>
    <row r="31" spans="1:11" outlineLevel="1" x14ac:dyDescent="0.35">
      <c r="A31" s="59" t="s">
        <v>8</v>
      </c>
      <c r="B31" s="60">
        <f t="shared" ref="B31:K31" si="25">+MAX(B26:B30)</f>
        <v>3.6</v>
      </c>
      <c r="C31" s="60">
        <f t="shared" si="25"/>
        <v>5</v>
      </c>
      <c r="D31" s="60">
        <f t="shared" si="25"/>
        <v>4.3</v>
      </c>
      <c r="E31" s="60">
        <f t="shared" si="25"/>
        <v>3.8</v>
      </c>
      <c r="F31" s="60">
        <f t="shared" si="25"/>
        <v>4</v>
      </c>
      <c r="G31" s="60">
        <f t="shared" si="25"/>
        <v>3.3</v>
      </c>
      <c r="H31" s="60">
        <f t="shared" si="25"/>
        <v>4.0999999999999996</v>
      </c>
      <c r="I31" s="60">
        <f t="shared" si="25"/>
        <v>3.4</v>
      </c>
      <c r="J31" s="60">
        <f t="shared" si="25"/>
        <v>3.4</v>
      </c>
      <c r="K31" s="60">
        <f t="shared" si="25"/>
        <v>4.7</v>
      </c>
    </row>
    <row r="32" spans="1:11" outlineLevel="1" x14ac:dyDescent="0.35">
      <c r="A32" s="59" t="s">
        <v>9</v>
      </c>
      <c r="B32" s="60">
        <f t="shared" ref="B32:K32" si="26">+MIN(B26:B30)</f>
        <v>3.2</v>
      </c>
      <c r="C32" s="60">
        <f t="shared" si="26"/>
        <v>4.5</v>
      </c>
      <c r="D32" s="60">
        <f t="shared" si="26"/>
        <v>4</v>
      </c>
      <c r="E32" s="60">
        <f t="shared" si="26"/>
        <v>3.5</v>
      </c>
      <c r="F32" s="60">
        <f t="shared" si="26"/>
        <v>3.6</v>
      </c>
      <c r="G32" s="60">
        <f t="shared" si="26"/>
        <v>3</v>
      </c>
      <c r="H32" s="60">
        <f t="shared" si="26"/>
        <v>3.5</v>
      </c>
      <c r="I32" s="60">
        <f t="shared" si="26"/>
        <v>2.9</v>
      </c>
      <c r="J32" s="60">
        <f t="shared" si="26"/>
        <v>2.8</v>
      </c>
      <c r="K32" s="60">
        <f t="shared" si="26"/>
        <v>4.3</v>
      </c>
    </row>
    <row r="33" spans="1:11" outlineLevel="1" x14ac:dyDescent="0.35">
      <c r="A33" s="59" t="s">
        <v>10</v>
      </c>
      <c r="B33" s="62">
        <f t="shared" ref="B33:K33" si="27">IFERROR((SUM(B26:B30)-B31-B32)/(COUNT(B26:B30)-2),0)</f>
        <v>3.3583333333333329</v>
      </c>
      <c r="C33" s="62">
        <f t="shared" si="27"/>
        <v>4.75</v>
      </c>
      <c r="D33" s="62">
        <f t="shared" si="27"/>
        <v>4.0666666666666664</v>
      </c>
      <c r="E33" s="62">
        <f t="shared" si="27"/>
        <v>3.6916666666666664</v>
      </c>
      <c r="F33" s="62">
        <f t="shared" si="27"/>
        <v>3.8000000000000003</v>
      </c>
      <c r="G33" s="62">
        <f t="shared" si="27"/>
        <v>3.1916666666666664</v>
      </c>
      <c r="H33" s="62">
        <f t="shared" si="27"/>
        <v>3.7583333333333333</v>
      </c>
      <c r="I33" s="62">
        <f t="shared" si="27"/>
        <v>2.9833333333333329</v>
      </c>
      <c r="J33" s="62">
        <f t="shared" si="27"/>
        <v>3.1</v>
      </c>
      <c r="K33" s="62">
        <f t="shared" si="27"/>
        <v>4.458333333333333</v>
      </c>
    </row>
    <row r="34" spans="1:11" outlineLevel="1" x14ac:dyDescent="0.35">
      <c r="A34" s="59" t="s">
        <v>11</v>
      </c>
      <c r="B34" s="62">
        <f>+B33*'U10 U12'!$F$4</f>
        <v>4.7016666666666662</v>
      </c>
      <c r="C34" s="62">
        <f>+C33*'U10 U12'!$F$4</f>
        <v>6.6499999999999995</v>
      </c>
      <c r="D34" s="62">
        <f>+D33*'U10 U12'!$F$4</f>
        <v>5.6933333333333325</v>
      </c>
      <c r="E34" s="62">
        <f>+E33*'U10 U12'!$F$4</f>
        <v>5.168333333333333</v>
      </c>
      <c r="F34" s="62">
        <f>+F33*'U10 U12'!$F$4</f>
        <v>5.32</v>
      </c>
      <c r="G34" s="62">
        <f>+G33*'U10 U12'!$F$4</f>
        <v>4.4683333333333328</v>
      </c>
      <c r="H34" s="62">
        <f>+H33*'U10 U12'!$F$4</f>
        <v>5.2616666666666667</v>
      </c>
      <c r="I34" s="62">
        <f>+I33*'U10 U12'!$F$4</f>
        <v>4.1766666666666659</v>
      </c>
      <c r="J34" s="62">
        <f>+J33*'U10 U12'!$F$4</f>
        <v>4.34</v>
      </c>
      <c r="K34" s="62">
        <f>+K33*'U10 U12'!$F$4</f>
        <v>6.2416666666666663</v>
      </c>
    </row>
    <row r="36" spans="1:11" outlineLevel="1" x14ac:dyDescent="0.35">
      <c r="A36" s="59" t="str">
        <f>'U10 U12'!D5</f>
        <v>Back tuck somersualt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6</v>
      </c>
      <c r="H36" s="59">
        <v>7</v>
      </c>
      <c r="I36" s="59">
        <v>8</v>
      </c>
      <c r="J36" s="59">
        <v>9</v>
      </c>
      <c r="K36" s="84">
        <v>10</v>
      </c>
    </row>
    <row r="37" spans="1:11" outlineLevel="1" x14ac:dyDescent="0.35">
      <c r="A37" s="60" t="s">
        <v>14</v>
      </c>
      <c r="B37" s="82">
        <v>4.7</v>
      </c>
      <c r="C37" s="82">
        <v>5.0999999999999996</v>
      </c>
      <c r="D37" s="82">
        <v>5</v>
      </c>
      <c r="E37" s="82">
        <v>4.5999999999999996</v>
      </c>
      <c r="F37" s="82">
        <v>4.5999999999999996</v>
      </c>
      <c r="G37" s="82">
        <v>4</v>
      </c>
      <c r="H37" s="82">
        <v>4.2</v>
      </c>
      <c r="I37" s="82">
        <v>3.5</v>
      </c>
      <c r="J37" s="82">
        <v>4</v>
      </c>
      <c r="K37" s="82">
        <v>5</v>
      </c>
    </row>
    <row r="38" spans="1:11" outlineLevel="1" x14ac:dyDescent="0.35">
      <c r="A38" s="60" t="s">
        <v>15</v>
      </c>
      <c r="B38" s="82">
        <v>4.0999999999999996</v>
      </c>
      <c r="C38" s="82">
        <v>4.9000000000000004</v>
      </c>
      <c r="D38" s="82">
        <v>4.4000000000000004</v>
      </c>
      <c r="E38" s="82">
        <v>4</v>
      </c>
      <c r="F38" s="82">
        <v>4.5</v>
      </c>
      <c r="G38" s="82">
        <v>3.7</v>
      </c>
      <c r="H38" s="82">
        <v>4.4000000000000004</v>
      </c>
      <c r="I38" s="82">
        <v>4.0999999999999996</v>
      </c>
      <c r="J38" s="82">
        <v>3.9</v>
      </c>
      <c r="K38" s="82">
        <v>4.5999999999999996</v>
      </c>
    </row>
    <row r="39" spans="1:11" outlineLevel="1" x14ac:dyDescent="0.35">
      <c r="A39" s="60" t="s">
        <v>16</v>
      </c>
      <c r="B39" s="82">
        <v>4.3</v>
      </c>
      <c r="C39" s="82">
        <v>5</v>
      </c>
      <c r="D39" s="82">
        <v>4.8</v>
      </c>
      <c r="E39" s="82">
        <v>4</v>
      </c>
      <c r="F39" s="82">
        <v>4.0999999999999996</v>
      </c>
      <c r="G39" s="82">
        <v>3.8</v>
      </c>
      <c r="H39" s="82">
        <v>4.3</v>
      </c>
      <c r="I39" s="82">
        <v>4</v>
      </c>
      <c r="J39" s="82">
        <v>4.0999999999999996</v>
      </c>
      <c r="K39" s="82">
        <v>4.7</v>
      </c>
    </row>
    <row r="40" spans="1:11" outlineLevel="1" x14ac:dyDescent="0.35">
      <c r="A40" s="60" t="s">
        <v>17</v>
      </c>
      <c r="B40" s="82">
        <v>3.6</v>
      </c>
      <c r="C40" s="82">
        <v>5</v>
      </c>
      <c r="D40" s="82">
        <v>4.7</v>
      </c>
      <c r="E40" s="82">
        <v>4</v>
      </c>
      <c r="F40" s="82">
        <v>4.4000000000000004</v>
      </c>
      <c r="G40" s="82">
        <v>3.5</v>
      </c>
      <c r="H40" s="82">
        <v>4.2</v>
      </c>
      <c r="I40" s="82">
        <v>3.5</v>
      </c>
      <c r="J40" s="82">
        <v>3.8</v>
      </c>
      <c r="K40" s="82">
        <v>4.3</v>
      </c>
    </row>
    <row r="41" spans="1:11" outlineLevel="1" x14ac:dyDescent="0.35">
      <c r="A41" s="60" t="s">
        <v>18</v>
      </c>
      <c r="B41" s="76">
        <f>IFERROR(AVERAGE(B37:B40),"")</f>
        <v>4.1750000000000007</v>
      </c>
      <c r="C41" s="76">
        <f t="shared" ref="C41" si="28">IFERROR(AVERAGE(C37:C40),"")</f>
        <v>5</v>
      </c>
      <c r="D41" s="76">
        <f t="shared" ref="D41" si="29">IFERROR(AVERAGE(D37:D40),"")</f>
        <v>4.7249999999999996</v>
      </c>
      <c r="E41" s="76">
        <f t="shared" ref="E41" si="30">IFERROR(AVERAGE(E37:E40),"")</f>
        <v>4.1500000000000004</v>
      </c>
      <c r="F41" s="76">
        <f t="shared" ref="F41" si="31">IFERROR(AVERAGE(F37:F40),"")</f>
        <v>4.4000000000000004</v>
      </c>
      <c r="G41" s="76">
        <f t="shared" ref="G41" si="32">IFERROR(AVERAGE(G37:G40),"")</f>
        <v>3.75</v>
      </c>
      <c r="H41" s="76">
        <f t="shared" ref="H41" si="33">IFERROR(AVERAGE(H37:H40),"")</f>
        <v>4.2750000000000004</v>
      </c>
      <c r="I41" s="76">
        <f t="shared" ref="I41" si="34">IFERROR(AVERAGE(I37:I40),"")</f>
        <v>3.7749999999999999</v>
      </c>
      <c r="J41" s="76">
        <f t="shared" ref="J41" si="35">IFERROR(AVERAGE(J37:J40),"")</f>
        <v>3.95</v>
      </c>
      <c r="K41" s="76">
        <f t="shared" ref="K41" si="36">IFERROR(AVERAGE(K37:K40),"")</f>
        <v>4.6500000000000004</v>
      </c>
    </row>
    <row r="42" spans="1:11" outlineLevel="1" x14ac:dyDescent="0.35">
      <c r="A42" s="59" t="s">
        <v>8</v>
      </c>
      <c r="B42" s="60">
        <f t="shared" ref="B42:K42" si="37">+MAX(B37:B41)</f>
        <v>4.7</v>
      </c>
      <c r="C42" s="60">
        <f t="shared" si="37"/>
        <v>5.0999999999999996</v>
      </c>
      <c r="D42" s="60">
        <f t="shared" si="37"/>
        <v>5</v>
      </c>
      <c r="E42" s="60">
        <f t="shared" si="37"/>
        <v>4.5999999999999996</v>
      </c>
      <c r="F42" s="60">
        <f t="shared" si="37"/>
        <v>4.5999999999999996</v>
      </c>
      <c r="G42" s="60">
        <f t="shared" si="37"/>
        <v>4</v>
      </c>
      <c r="H42" s="60">
        <f t="shared" si="37"/>
        <v>4.4000000000000004</v>
      </c>
      <c r="I42" s="60">
        <f t="shared" si="37"/>
        <v>4.0999999999999996</v>
      </c>
      <c r="J42" s="60">
        <f t="shared" si="37"/>
        <v>4.0999999999999996</v>
      </c>
      <c r="K42" s="60">
        <f t="shared" si="37"/>
        <v>5</v>
      </c>
    </row>
    <row r="43" spans="1:11" outlineLevel="1" x14ac:dyDescent="0.35">
      <c r="A43" s="59" t="s">
        <v>9</v>
      </c>
      <c r="B43" s="60">
        <f t="shared" ref="B43:K43" si="38">+MIN(B37:B41)</f>
        <v>3.6</v>
      </c>
      <c r="C43" s="60">
        <f t="shared" si="38"/>
        <v>4.9000000000000004</v>
      </c>
      <c r="D43" s="60">
        <f t="shared" si="38"/>
        <v>4.4000000000000004</v>
      </c>
      <c r="E43" s="60">
        <f t="shared" si="38"/>
        <v>4</v>
      </c>
      <c r="F43" s="60">
        <f t="shared" si="38"/>
        <v>4.0999999999999996</v>
      </c>
      <c r="G43" s="60">
        <f t="shared" si="38"/>
        <v>3.5</v>
      </c>
      <c r="H43" s="60">
        <f t="shared" si="38"/>
        <v>4.2</v>
      </c>
      <c r="I43" s="60">
        <f t="shared" si="38"/>
        <v>3.5</v>
      </c>
      <c r="J43" s="60">
        <f t="shared" si="38"/>
        <v>3.8</v>
      </c>
      <c r="K43" s="60">
        <f t="shared" si="38"/>
        <v>4.3</v>
      </c>
    </row>
    <row r="44" spans="1:11" outlineLevel="1" x14ac:dyDescent="0.35">
      <c r="A44" s="59" t="s">
        <v>10</v>
      </c>
      <c r="B44" s="62">
        <f t="shared" ref="B44:K44" si="39">IFERROR((SUM(B37:B41)-B42-B43)/(COUNT(B37:B41)-2),0)</f>
        <v>4.1916666666666682</v>
      </c>
      <c r="C44" s="62">
        <f t="shared" si="39"/>
        <v>4.9999999999999991</v>
      </c>
      <c r="D44" s="62">
        <f t="shared" si="39"/>
        <v>4.7416666666666663</v>
      </c>
      <c r="E44" s="62">
        <f t="shared" si="39"/>
        <v>4.05</v>
      </c>
      <c r="F44" s="62">
        <f t="shared" si="39"/>
        <v>4.4333333333333327</v>
      </c>
      <c r="G44" s="62">
        <f t="shared" si="39"/>
        <v>3.75</v>
      </c>
      <c r="H44" s="62">
        <f t="shared" si="39"/>
        <v>4.2583333333333337</v>
      </c>
      <c r="I44" s="62">
        <f t="shared" si="39"/>
        <v>3.7583333333333333</v>
      </c>
      <c r="J44" s="62">
        <f t="shared" si="39"/>
        <v>3.9500000000000006</v>
      </c>
      <c r="K44" s="62">
        <f t="shared" si="39"/>
        <v>4.6499999999999995</v>
      </c>
    </row>
    <row r="45" spans="1:11" outlineLevel="1" x14ac:dyDescent="0.35">
      <c r="A45" s="59" t="s">
        <v>11</v>
      </c>
      <c r="B45" s="62">
        <f>+B44*'U10 U12'!$F$5</f>
        <v>4.6108333333333356</v>
      </c>
      <c r="C45" s="62">
        <f>+C44*'U10 U12'!$F$5</f>
        <v>5.4999999999999991</v>
      </c>
      <c r="D45" s="62">
        <f>+D44*'U10 U12'!$F$5</f>
        <v>5.2158333333333333</v>
      </c>
      <c r="E45" s="62">
        <f>+E44*'U10 U12'!$F$5</f>
        <v>4.4550000000000001</v>
      </c>
      <c r="F45" s="62">
        <f>+F44*'U10 U12'!$F$5</f>
        <v>4.876666666666666</v>
      </c>
      <c r="G45" s="62">
        <f>+G44*'U10 U12'!$F$5</f>
        <v>4.125</v>
      </c>
      <c r="H45" s="62">
        <f>+H44*'U10 U12'!$F$5</f>
        <v>4.6841666666666679</v>
      </c>
      <c r="I45" s="62">
        <f>+I44*'U10 U12'!$F$5</f>
        <v>4.1341666666666672</v>
      </c>
      <c r="J45" s="62">
        <f>+J44*'U10 U12'!$F$5</f>
        <v>4.3450000000000006</v>
      </c>
      <c r="K45" s="62">
        <f>+K44*'U10 U12'!$F$5</f>
        <v>5.1150000000000002</v>
      </c>
    </row>
    <row r="46" spans="1:11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35">
      <c r="A47" s="59" t="s">
        <v>60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x14ac:dyDescent="0.35">
      <c r="A48" s="59" t="s">
        <v>13</v>
      </c>
      <c r="B48" s="77">
        <f>+ROUND(((+B12+B23+B34+B45)/'U10 U12'!$F$6*10)-B47,3)</f>
        <v>37.783999999999999</v>
      </c>
      <c r="C48" s="77">
        <f>+ROUND(((+C12+C23+C34+C45)/'U10 U12'!$F$6*10)-C47,3)</f>
        <v>47.323</v>
      </c>
      <c r="D48" s="77">
        <f>+ROUND(((+D12+D23+D34+D45)/'U10 U12'!$F$6*10)-D47,3)</f>
        <v>42.841000000000001</v>
      </c>
      <c r="E48" s="77">
        <f>+ROUND(((+E12+E23+E34+E45)/'U10 U12'!$F$6*10)-E47,3)</f>
        <v>38.723999999999997</v>
      </c>
      <c r="F48" s="77">
        <f>+ROUND(((+F12+F23+F34+F45)/'U10 U12'!$F$6*10)-F47,3)</f>
        <v>38.737000000000002</v>
      </c>
      <c r="G48" s="77">
        <f>+ROUND(((+G12+G23+G34+G45)/'U10 U12'!$F$6*10)-G47,3)</f>
        <v>33.353000000000002</v>
      </c>
      <c r="H48" s="77">
        <f>+ROUND(((+H12+H23+H34+H45)/'U10 U12'!$F$6*10)-H47,3)</f>
        <v>39.204999999999998</v>
      </c>
      <c r="I48" s="77">
        <f>+ROUND(((+I12+I23+I34+I45)/'U10 U12'!$F$6*10)-I47,3)</f>
        <v>36.319000000000003</v>
      </c>
      <c r="J48" s="77">
        <f>+ROUND(((+J12+J23+J34+J45)/'U10 U12'!$F$6*10)-J47,3)</f>
        <v>36.319000000000003</v>
      </c>
      <c r="K48" s="77">
        <f>+ROUND(((+K12+K23+K34+K45)/'U10 U12'!$F$6*10)-K47,3)</f>
        <v>44.207000000000001</v>
      </c>
    </row>
  </sheetData>
  <sheetProtection password="D8D7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4294967293" verticalDpi="4294967293" r:id="rId1"/>
  <rowBreaks count="1" manualBreakCount="1">
    <brk id="2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12" workbookViewId="0">
      <selection activeCell="I30" sqref="I30"/>
    </sheetView>
  </sheetViews>
  <sheetFormatPr defaultColWidth="6.26953125" defaultRowHeight="14.5" x14ac:dyDescent="0.35"/>
  <cols>
    <col min="1" max="1" width="0.1796875" style="49" customWidth="1"/>
    <col min="2" max="2" width="6.26953125" style="49" hidden="1" customWidth="1"/>
    <col min="3" max="3" width="5.54296875" style="49" bestFit="1" customWidth="1"/>
    <col min="4" max="4" width="22.54296875" style="49" bestFit="1" customWidth="1"/>
    <col min="5" max="5" width="17" style="49" bestFit="1" customWidth="1"/>
    <col min="6" max="6" width="10.1796875" style="49" customWidth="1"/>
    <col min="7" max="7" width="12.54296875" style="49" customWidth="1"/>
    <col min="8" max="8" width="10.54296875" style="49" customWidth="1"/>
    <col min="9" max="9" width="22.54296875" style="49" customWidth="1"/>
    <col min="10" max="10" width="10.54296875" style="49" bestFit="1" customWidth="1"/>
    <col min="11" max="11" width="13.1796875" style="49" bestFit="1" customWidth="1"/>
    <col min="12" max="16384" width="6.26953125" style="49"/>
  </cols>
  <sheetData>
    <row r="1" spans="1:20" x14ac:dyDescent="0.35">
      <c r="D1" s="11" t="s">
        <v>3</v>
      </c>
      <c r="E1" s="8" t="s">
        <v>7</v>
      </c>
      <c r="F1" s="8" t="s">
        <v>4</v>
      </c>
      <c r="H1" s="52" t="s">
        <v>14</v>
      </c>
      <c r="I1" s="82"/>
    </row>
    <row r="2" spans="1:20" ht="15.5" x14ac:dyDescent="0.35">
      <c r="D2" s="78" t="s">
        <v>145</v>
      </c>
      <c r="E2" s="79">
        <v>101</v>
      </c>
      <c r="F2" s="79">
        <v>1</v>
      </c>
      <c r="H2" s="52" t="s">
        <v>15</v>
      </c>
      <c r="I2" s="82"/>
      <c r="K2" s="47"/>
      <c r="L2" s="14"/>
    </row>
    <row r="3" spans="1:20" ht="15.5" x14ac:dyDescent="0.35">
      <c r="D3" s="78" t="s">
        <v>146</v>
      </c>
      <c r="E3" s="79">
        <v>320</v>
      </c>
      <c r="F3" s="79">
        <v>1.7</v>
      </c>
      <c r="H3" s="52" t="s">
        <v>16</v>
      </c>
      <c r="I3" s="82"/>
      <c r="K3" s="14"/>
      <c r="L3" s="14"/>
    </row>
    <row r="4" spans="1:20" ht="15.5" x14ac:dyDescent="0.35">
      <c r="D4" s="78" t="s">
        <v>139</v>
      </c>
      <c r="E4" s="79">
        <v>302</v>
      </c>
      <c r="F4" s="79">
        <v>1.4</v>
      </c>
      <c r="H4" s="52" t="s">
        <v>17</v>
      </c>
      <c r="I4" s="82"/>
      <c r="K4" s="14"/>
      <c r="L4" s="14"/>
      <c r="N4" s="6"/>
    </row>
    <row r="5" spans="1:20" ht="15.5" x14ac:dyDescent="0.35">
      <c r="D5" s="78" t="s">
        <v>147</v>
      </c>
      <c r="E5" s="79">
        <v>310</v>
      </c>
      <c r="F5" s="79">
        <v>1.1000000000000001</v>
      </c>
      <c r="K5" s="14"/>
      <c r="L5" s="14"/>
      <c r="N5" s="6"/>
    </row>
    <row r="6" spans="1:20" ht="15.5" x14ac:dyDescent="0.35">
      <c r="D6" s="7" t="s">
        <v>5</v>
      </c>
      <c r="E6" s="8"/>
      <c r="F6" s="8">
        <f>SUM(F2:F5)</f>
        <v>5.1999999999999993</v>
      </c>
      <c r="K6" s="14"/>
      <c r="N6" s="6"/>
    </row>
    <row r="7" spans="1:20" ht="15.5" x14ac:dyDescent="0.35">
      <c r="M7" s="15"/>
      <c r="O7" s="14"/>
      <c r="S7" s="14"/>
    </row>
    <row r="8" spans="1:20" ht="15.5" x14ac:dyDescent="0.35">
      <c r="H8" s="58"/>
      <c r="I8" s="58"/>
      <c r="M8" s="15"/>
      <c r="O8" s="14"/>
      <c r="S8" s="14"/>
    </row>
    <row r="9" spans="1:20" ht="15.5" x14ac:dyDescent="0.35">
      <c r="H9" s="58"/>
      <c r="I9" s="58"/>
      <c r="M9" s="15"/>
      <c r="O9" s="14"/>
      <c r="S9" s="14"/>
    </row>
    <row r="10" spans="1:20" ht="15.5" x14ac:dyDescent="0.35">
      <c r="D10" s="7" t="s">
        <v>0</v>
      </c>
      <c r="E10" s="9" t="str">
        <f>+'U10 U12'!E10</f>
        <v>SSA Level 1</v>
      </c>
      <c r="G10" s="87" t="s">
        <v>148</v>
      </c>
      <c r="M10" s="15"/>
      <c r="O10" s="14"/>
      <c r="S10" s="14"/>
    </row>
    <row r="11" spans="1:20" ht="15.5" x14ac:dyDescent="0.35">
      <c r="D11" s="7" t="s">
        <v>19</v>
      </c>
      <c r="E11" s="9" t="str">
        <f>+'U10 U12'!E11</f>
        <v>12 - 13 March 2016</v>
      </c>
      <c r="M11" s="15"/>
      <c r="O11" s="14"/>
      <c r="S11" s="14"/>
    </row>
    <row r="12" spans="1:20" ht="15.5" x14ac:dyDescent="0.35">
      <c r="D12" s="7" t="s">
        <v>1</v>
      </c>
      <c r="E12" s="9" t="s">
        <v>149</v>
      </c>
      <c r="M12" s="15"/>
      <c r="O12" s="14"/>
      <c r="S12" s="14"/>
    </row>
    <row r="13" spans="1:20" ht="15.5" x14ac:dyDescent="0.35">
      <c r="M13" s="14"/>
      <c r="O13" s="14"/>
      <c r="T13" s="14"/>
    </row>
    <row r="14" spans="1:20" ht="15.5" x14ac:dyDescent="0.35">
      <c r="C14" s="86" t="s">
        <v>6</v>
      </c>
      <c r="D14" s="11" t="s">
        <v>62</v>
      </c>
      <c r="E14" s="11" t="s">
        <v>134</v>
      </c>
      <c r="F14" s="8" t="s">
        <v>154</v>
      </c>
      <c r="G14" s="8" t="s">
        <v>11</v>
      </c>
      <c r="H14" s="8" t="s">
        <v>61</v>
      </c>
      <c r="M14" s="15"/>
      <c r="O14" s="14"/>
      <c r="T14" s="14"/>
    </row>
    <row r="15" spans="1:20" x14ac:dyDescent="0.35">
      <c r="A15" s="49" t="str">
        <f>H15</f>
        <v/>
      </c>
      <c r="B15" s="49">
        <f>K15</f>
        <v>0</v>
      </c>
      <c r="C15" s="82">
        <v>0</v>
      </c>
      <c r="D15" s="52" t="s">
        <v>124</v>
      </c>
      <c r="E15" s="52" t="s">
        <v>125</v>
      </c>
      <c r="F15" s="53" t="s">
        <v>135</v>
      </c>
      <c r="G15" s="22" t="str">
        <f>IFERROR(HLOOKUP(C15,'Novice Scores'!$B$3:$J$48,46,FALSE),"")</f>
        <v/>
      </c>
      <c r="H15" s="53" t="str">
        <f>IF(G15&lt;&gt;"",RANK(G15,$G$15:$G$18,0),"")</f>
        <v/>
      </c>
    </row>
    <row r="16" spans="1:20" x14ac:dyDescent="0.35">
      <c r="A16" s="49" t="str">
        <f t="shared" ref="A16:A18" si="0">H16</f>
        <v/>
      </c>
      <c r="B16" s="49">
        <f t="shared" ref="B16:B18" si="1">K16</f>
        <v>0</v>
      </c>
      <c r="C16" s="82">
        <v>0</v>
      </c>
      <c r="D16" s="52" t="s">
        <v>126</v>
      </c>
      <c r="E16" s="52" t="s">
        <v>125</v>
      </c>
      <c r="F16" s="53" t="s">
        <v>135</v>
      </c>
      <c r="G16" s="22" t="str">
        <f>IFERROR(HLOOKUP(C16,'Novice Scores'!$B$3:$J$48,46,FALSE),"")</f>
        <v/>
      </c>
      <c r="H16" s="53" t="str">
        <f>IF(G16&lt;&gt;"",RANK(G16,$G$15:$G$18,0),"")</f>
        <v/>
      </c>
    </row>
    <row r="17" spans="1:8" x14ac:dyDescent="0.35">
      <c r="A17" s="49" t="str">
        <f t="shared" si="0"/>
        <v/>
      </c>
      <c r="B17" s="49">
        <f t="shared" si="1"/>
        <v>0</v>
      </c>
      <c r="C17" s="82">
        <v>0</v>
      </c>
      <c r="D17" s="52" t="s">
        <v>127</v>
      </c>
      <c r="E17" s="52" t="s">
        <v>105</v>
      </c>
      <c r="F17" s="53" t="s">
        <v>135</v>
      </c>
      <c r="G17" s="22" t="str">
        <f>IFERROR(HLOOKUP(C17,'Novice Scores'!$B$3:$J$48,46,FALSE),"")</f>
        <v/>
      </c>
      <c r="H17" s="53" t="str">
        <f>IF(G17&lt;&gt;"",RANK(G17,$G$15:$G$18,0),"")</f>
        <v/>
      </c>
    </row>
    <row r="18" spans="1:8" x14ac:dyDescent="0.35">
      <c r="A18" s="49">
        <f t="shared" si="0"/>
        <v>1</v>
      </c>
      <c r="B18" s="49">
        <f t="shared" si="1"/>
        <v>0</v>
      </c>
      <c r="C18" s="82">
        <v>1</v>
      </c>
      <c r="D18" s="52" t="s">
        <v>128</v>
      </c>
      <c r="E18" s="52" t="s">
        <v>105</v>
      </c>
      <c r="F18" s="53" t="s">
        <v>135</v>
      </c>
      <c r="G18" s="22">
        <f>IFERROR(HLOOKUP(C18,'Novice Scores'!$B$3:$J$48,46,FALSE),"")</f>
        <v>27.678000000000001</v>
      </c>
      <c r="H18" s="53">
        <f>IF(G18&lt;&gt;"",RANK(G18,$G$15:$G$18,0),"")</f>
        <v>1</v>
      </c>
    </row>
    <row r="19" spans="1:8" x14ac:dyDescent="0.35">
      <c r="F19" s="49" t="str">
        <f>IFERROR(HLOOKUP(C19,'Novice Scores'!$B$3:$E$48,58,FALSE),"")</f>
        <v/>
      </c>
      <c r="G19" s="49" t="str">
        <f>IF(F19&lt;&gt;"",RANK(F19,$F$15:$F$21,0),"")</f>
        <v/>
      </c>
    </row>
    <row r="21" spans="1:8" x14ac:dyDescent="0.35">
      <c r="D21" s="7" t="s">
        <v>0</v>
      </c>
      <c r="E21" s="9" t="str">
        <f>+E10</f>
        <v>SSA Level 1</v>
      </c>
      <c r="F21" s="49" t="str">
        <f>IFERROR(HLOOKUP(C21,'Novice Scores'!$B$3:$E$48,58,FALSE),"")</f>
        <v/>
      </c>
      <c r="G21" s="49" t="str">
        <f>IF(F21&lt;&gt;"",RANK(F21,$F$15:$F$21,0),"")</f>
        <v/>
      </c>
    </row>
    <row r="22" spans="1:8" x14ac:dyDescent="0.35">
      <c r="D22" s="7" t="s">
        <v>19</v>
      </c>
      <c r="E22" s="9" t="str">
        <f>+E11</f>
        <v>12 - 13 March 2016</v>
      </c>
      <c r="F22" s="49" t="str">
        <f>IFERROR(HLOOKUP(C22,'Novice Scores'!$B$3:$E$48,58,FALSE),"")</f>
        <v/>
      </c>
      <c r="G22" s="49" t="str">
        <f>IF(F22&lt;&gt;"",RANK(F22,$F$15:$F$21,0),"")</f>
        <v/>
      </c>
    </row>
    <row r="23" spans="1:8" x14ac:dyDescent="0.35">
      <c r="D23" s="7" t="s">
        <v>1</v>
      </c>
      <c r="E23" s="9" t="s">
        <v>155</v>
      </c>
    </row>
    <row r="25" spans="1:8" x14ac:dyDescent="0.35">
      <c r="C25" s="80" t="s">
        <v>6</v>
      </c>
      <c r="D25" s="11" t="s">
        <v>62</v>
      </c>
      <c r="E25" s="11" t="s">
        <v>134</v>
      </c>
      <c r="F25" s="8" t="s">
        <v>154</v>
      </c>
      <c r="G25" s="8" t="s">
        <v>11</v>
      </c>
      <c r="H25" s="8" t="s">
        <v>61</v>
      </c>
    </row>
    <row r="26" spans="1:8" x14ac:dyDescent="0.35">
      <c r="A26" s="49">
        <f t="shared" ref="A26:A28" si="2">H26</f>
        <v>1</v>
      </c>
      <c r="B26" s="49">
        <f t="shared" ref="B26:B28" si="3">K26</f>
        <v>0</v>
      </c>
      <c r="C26" s="82">
        <v>5</v>
      </c>
      <c r="D26" s="52" t="s">
        <v>129</v>
      </c>
      <c r="E26" s="52" t="s">
        <v>105</v>
      </c>
      <c r="F26" s="53" t="s">
        <v>141</v>
      </c>
      <c r="G26" s="22">
        <f>IFERROR(HLOOKUP(C26,'Novice Scores'!$B$3:$J$48,46,FALSE),"")</f>
        <v>32.026000000000003</v>
      </c>
      <c r="H26" s="53">
        <f>IF(G26&lt;&gt;"",RANK(G26,$G$26:$G$29,0),"")</f>
        <v>1</v>
      </c>
    </row>
    <row r="27" spans="1:8" x14ac:dyDescent="0.35">
      <c r="A27" s="49">
        <f t="shared" si="2"/>
        <v>3</v>
      </c>
      <c r="B27" s="49">
        <f t="shared" si="3"/>
        <v>0</v>
      </c>
      <c r="C27" s="82">
        <v>2</v>
      </c>
      <c r="D27" s="52" t="s">
        <v>130</v>
      </c>
      <c r="E27" s="52" t="s">
        <v>105</v>
      </c>
      <c r="F27" s="53" t="s">
        <v>141</v>
      </c>
      <c r="G27" s="22">
        <f>IFERROR(HLOOKUP(C27,'Novice Scores'!$B$3:$J$48,46,FALSE),"")</f>
        <v>27.728999999999999</v>
      </c>
      <c r="H27" s="53">
        <f t="shared" ref="H27:H29" si="4">IF(G27&lt;&gt;"",RANK(G27,$G$26:$G$29,0),"")</f>
        <v>3</v>
      </c>
    </row>
    <row r="28" spans="1:8" x14ac:dyDescent="0.35">
      <c r="A28" s="49">
        <f t="shared" si="2"/>
        <v>2</v>
      </c>
      <c r="B28" s="49">
        <f t="shared" si="3"/>
        <v>0</v>
      </c>
      <c r="C28" s="82">
        <v>7</v>
      </c>
      <c r="D28" s="52" t="s">
        <v>127</v>
      </c>
      <c r="E28" s="52" t="s">
        <v>105</v>
      </c>
      <c r="F28" s="53" t="s">
        <v>141</v>
      </c>
      <c r="G28" s="22">
        <f>IFERROR(HLOOKUP(C28,'Novice Scores'!$B$3:$J$48,46,FALSE),"")</f>
        <v>30.88</v>
      </c>
      <c r="H28" s="53">
        <f t="shared" si="4"/>
        <v>2</v>
      </c>
    </row>
    <row r="29" spans="1:8" x14ac:dyDescent="0.35">
      <c r="C29" s="82">
        <v>4</v>
      </c>
      <c r="D29" s="102" t="s">
        <v>186</v>
      </c>
      <c r="E29" s="102" t="s">
        <v>105</v>
      </c>
      <c r="F29" s="53" t="s">
        <v>141</v>
      </c>
      <c r="G29" s="22">
        <f>IFERROR(HLOOKUP(C29,'Novice Scores'!$B$3:$J$48,46,FALSE),"")</f>
        <v>27.119</v>
      </c>
      <c r="H29" s="53">
        <f t="shared" si="4"/>
        <v>4</v>
      </c>
    </row>
    <row r="31" spans="1:8" x14ac:dyDescent="0.35">
      <c r="D31" s="7" t="s">
        <v>0</v>
      </c>
      <c r="E31" s="9" t="str">
        <f>+E10</f>
        <v>SSA Level 1</v>
      </c>
      <c r="F31" s="49" t="str">
        <f>IFERROR(HLOOKUP(C31,'Novice Scores'!$B$3:$E$48,58,FALSE),"")</f>
        <v/>
      </c>
      <c r="G31" s="49" t="str">
        <f>IF(F31&lt;&gt;"",RANK(F31,$F$15:$F$21,0),"")</f>
        <v/>
      </c>
    </row>
    <row r="32" spans="1:8" x14ac:dyDescent="0.35">
      <c r="D32" s="7" t="s">
        <v>19</v>
      </c>
      <c r="E32" s="9" t="str">
        <f>+E11</f>
        <v>12 - 13 March 2016</v>
      </c>
      <c r="F32" s="49" t="str">
        <f>IFERROR(HLOOKUP(C32,'Novice Scores'!$B$3:$E$48,58,FALSE),"")</f>
        <v/>
      </c>
      <c r="G32" s="49" t="str">
        <f>IF(F32&lt;&gt;"",RANK(F32,$F$15:$F$21,0),"")</f>
        <v/>
      </c>
    </row>
    <row r="33" spans="1:8" x14ac:dyDescent="0.35">
      <c r="D33" s="7" t="s">
        <v>1</v>
      </c>
      <c r="E33" s="9" t="s">
        <v>157</v>
      </c>
    </row>
    <row r="35" spans="1:8" x14ac:dyDescent="0.35">
      <c r="C35" s="80" t="s">
        <v>6</v>
      </c>
      <c r="D35" s="11" t="s">
        <v>62</v>
      </c>
      <c r="E35" s="11" t="s">
        <v>134</v>
      </c>
      <c r="F35" s="8" t="s">
        <v>154</v>
      </c>
      <c r="G35" s="8" t="s">
        <v>11</v>
      </c>
      <c r="H35" s="8" t="s">
        <v>61</v>
      </c>
    </row>
    <row r="36" spans="1:8" x14ac:dyDescent="0.35">
      <c r="A36" s="49">
        <f t="shared" ref="A36:A37" si="5">H36</f>
        <v>1</v>
      </c>
      <c r="B36" s="49">
        <f t="shared" ref="B36:B37" si="6">K36</f>
        <v>0</v>
      </c>
      <c r="C36" s="82">
        <v>6</v>
      </c>
      <c r="D36" s="52" t="s">
        <v>131</v>
      </c>
      <c r="E36" s="52" t="s">
        <v>105</v>
      </c>
      <c r="F36" s="53" t="s">
        <v>108</v>
      </c>
      <c r="G36" s="22">
        <f>IFERROR(HLOOKUP(C36,'Novice Scores'!$B$3:$J$48,46,FALSE),"")</f>
        <v>34.920999999999999</v>
      </c>
      <c r="H36" s="53">
        <f>IF(G36&lt;&gt;"",RANK(G36,$G$36:$G$37,0),"")</f>
        <v>1</v>
      </c>
    </row>
    <row r="37" spans="1:8" x14ac:dyDescent="0.35">
      <c r="A37" s="49" t="str">
        <f t="shared" si="5"/>
        <v/>
      </c>
      <c r="B37" s="49">
        <f t="shared" si="6"/>
        <v>0</v>
      </c>
      <c r="C37" s="82">
        <v>0</v>
      </c>
      <c r="D37" s="52" t="s">
        <v>132</v>
      </c>
      <c r="E37" s="52" t="s">
        <v>105</v>
      </c>
      <c r="F37" s="53" t="s">
        <v>108</v>
      </c>
      <c r="G37" s="22" t="str">
        <f>IFERROR(HLOOKUP(C37,'Novice Scores'!$B$3:$J$48,46,FALSE),"")</f>
        <v/>
      </c>
      <c r="H37" s="53" t="str">
        <f>IF(G37&lt;&gt;"",RANK(G37,$G$36:$G$37,0),"")</f>
        <v/>
      </c>
    </row>
  </sheetData>
  <sheetProtection selectLockedCells="1"/>
  <sortState ref="C13:J22">
    <sortCondition ref="G13:G22"/>
  </sortState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13" workbookViewId="0">
      <selection activeCell="B4" sqref="B4"/>
    </sheetView>
  </sheetViews>
  <sheetFormatPr defaultColWidth="9.1796875" defaultRowHeight="14.5" outlineLevelRow="1" x14ac:dyDescent="0.35"/>
  <cols>
    <col min="1" max="1" width="23.453125" style="2" bestFit="1" customWidth="1"/>
    <col min="2" max="5" width="12.26953125" style="2" customWidth="1"/>
    <col min="6" max="16384" width="9.1796875" style="2"/>
  </cols>
  <sheetData>
    <row r="1" spans="1:10" ht="21" x14ac:dyDescent="0.5">
      <c r="A1" s="43" t="s">
        <v>158</v>
      </c>
      <c r="B1" s="43"/>
    </row>
    <row r="3" spans="1:10" outlineLevel="1" x14ac:dyDescent="0.35">
      <c r="A3" s="59" t="str">
        <f>Novice!D2</f>
        <v>Sailboat</v>
      </c>
      <c r="B3" s="84">
        <v>1</v>
      </c>
      <c r="C3" s="59">
        <v>2</v>
      </c>
      <c r="D3" s="59">
        <v>3</v>
      </c>
      <c r="E3" s="59">
        <v>4</v>
      </c>
      <c r="F3" s="59">
        <v>5</v>
      </c>
      <c r="G3" s="59">
        <v>6</v>
      </c>
      <c r="H3" s="59">
        <v>7</v>
      </c>
      <c r="I3" s="59">
        <v>8</v>
      </c>
      <c r="J3" s="59">
        <v>9</v>
      </c>
    </row>
    <row r="4" spans="1:10" outlineLevel="1" x14ac:dyDescent="0.35">
      <c r="A4" s="60" t="s">
        <v>14</v>
      </c>
      <c r="B4" s="82">
        <v>3</v>
      </c>
      <c r="C4" s="82">
        <v>3.2</v>
      </c>
      <c r="D4" s="82">
        <v>0</v>
      </c>
      <c r="E4" s="82">
        <v>3</v>
      </c>
      <c r="F4" s="82">
        <v>3.3</v>
      </c>
      <c r="G4" s="82">
        <v>3.4</v>
      </c>
      <c r="H4" s="82">
        <v>3.1</v>
      </c>
      <c r="I4" s="82"/>
      <c r="J4" s="82"/>
    </row>
    <row r="5" spans="1:10" outlineLevel="1" x14ac:dyDescent="0.35">
      <c r="A5" s="60" t="s">
        <v>15</v>
      </c>
      <c r="B5" s="82">
        <v>3.1</v>
      </c>
      <c r="C5" s="82">
        <v>3.3</v>
      </c>
      <c r="D5" s="82">
        <v>0</v>
      </c>
      <c r="E5" s="82">
        <v>3.2</v>
      </c>
      <c r="F5" s="82">
        <v>3</v>
      </c>
      <c r="G5" s="82">
        <v>3.5</v>
      </c>
      <c r="H5" s="82">
        <v>3.2</v>
      </c>
      <c r="I5" s="82"/>
      <c r="J5" s="82"/>
    </row>
    <row r="6" spans="1:10" outlineLevel="1" x14ac:dyDescent="0.35">
      <c r="A6" s="60" t="s">
        <v>16</v>
      </c>
      <c r="B6" s="82">
        <v>3</v>
      </c>
      <c r="C6" s="82">
        <v>3.1</v>
      </c>
      <c r="D6" s="82">
        <v>0</v>
      </c>
      <c r="E6" s="82">
        <v>2.8</v>
      </c>
      <c r="F6" s="82">
        <v>3.1</v>
      </c>
      <c r="G6" s="82">
        <v>3.3</v>
      </c>
      <c r="H6" s="82">
        <v>3</v>
      </c>
      <c r="I6" s="82"/>
      <c r="J6" s="82"/>
    </row>
    <row r="7" spans="1:10" outlineLevel="1" x14ac:dyDescent="0.35">
      <c r="A7" s="60" t="s">
        <v>17</v>
      </c>
      <c r="B7" s="82">
        <v>3.3</v>
      </c>
      <c r="C7" s="82">
        <v>3</v>
      </c>
      <c r="D7" s="82">
        <v>0</v>
      </c>
      <c r="E7" s="82">
        <v>3.3</v>
      </c>
      <c r="F7" s="82">
        <v>3.2</v>
      </c>
      <c r="G7" s="82">
        <v>3.4</v>
      </c>
      <c r="H7" s="82">
        <v>3.2</v>
      </c>
      <c r="I7" s="82"/>
      <c r="J7" s="82"/>
    </row>
    <row r="8" spans="1:10" outlineLevel="1" x14ac:dyDescent="0.35">
      <c r="A8" s="60" t="s">
        <v>18</v>
      </c>
      <c r="B8" s="9">
        <f>IFERROR(AVERAGE(B4:B7),"")</f>
        <v>3.0999999999999996</v>
      </c>
      <c r="C8" s="9">
        <f t="shared" ref="C8:J8" si="0">IFERROR(AVERAGE(C4:C7),"")</f>
        <v>3.15</v>
      </c>
      <c r="D8" s="9">
        <f t="shared" si="0"/>
        <v>0</v>
      </c>
      <c r="E8" s="9">
        <f t="shared" si="0"/>
        <v>3.0750000000000002</v>
      </c>
      <c r="F8" s="9">
        <f t="shared" si="0"/>
        <v>3.1500000000000004</v>
      </c>
      <c r="G8" s="9">
        <f t="shared" si="0"/>
        <v>3.4</v>
      </c>
      <c r="H8" s="9">
        <f t="shared" si="0"/>
        <v>3.125</v>
      </c>
      <c r="I8" s="9" t="str">
        <f t="shared" si="0"/>
        <v/>
      </c>
      <c r="J8" s="9" t="str">
        <f t="shared" si="0"/>
        <v/>
      </c>
    </row>
    <row r="9" spans="1:10" outlineLevel="1" x14ac:dyDescent="0.35">
      <c r="A9" s="59" t="s">
        <v>8</v>
      </c>
      <c r="B9" s="60">
        <f>+MAX(B4:B8)</f>
        <v>3.3</v>
      </c>
      <c r="C9" s="60">
        <f t="shared" ref="C9:J9" si="1">+MAX(C4:C8)</f>
        <v>3.3</v>
      </c>
      <c r="D9" s="60">
        <f t="shared" si="1"/>
        <v>0</v>
      </c>
      <c r="E9" s="60">
        <f t="shared" si="1"/>
        <v>3.3</v>
      </c>
      <c r="F9" s="60">
        <f t="shared" si="1"/>
        <v>3.3</v>
      </c>
      <c r="G9" s="60">
        <f t="shared" si="1"/>
        <v>3.5</v>
      </c>
      <c r="H9" s="60">
        <f t="shared" si="1"/>
        <v>3.2</v>
      </c>
      <c r="I9" s="60">
        <f t="shared" si="1"/>
        <v>0</v>
      </c>
      <c r="J9" s="60">
        <f t="shared" si="1"/>
        <v>0</v>
      </c>
    </row>
    <row r="10" spans="1:10" outlineLevel="1" x14ac:dyDescent="0.35">
      <c r="A10" s="59" t="s">
        <v>9</v>
      </c>
      <c r="B10" s="60">
        <f>+MIN(B4:B8)</f>
        <v>3</v>
      </c>
      <c r="C10" s="60">
        <f t="shared" ref="C10:J10" si="2">+MIN(C4:C8)</f>
        <v>3</v>
      </c>
      <c r="D10" s="60">
        <f t="shared" si="2"/>
        <v>0</v>
      </c>
      <c r="E10" s="60">
        <f t="shared" si="2"/>
        <v>2.8</v>
      </c>
      <c r="F10" s="60">
        <f t="shared" si="2"/>
        <v>3</v>
      </c>
      <c r="G10" s="60">
        <f t="shared" si="2"/>
        <v>3.3</v>
      </c>
      <c r="H10" s="60">
        <f t="shared" si="2"/>
        <v>3</v>
      </c>
      <c r="I10" s="60">
        <f t="shared" si="2"/>
        <v>0</v>
      </c>
      <c r="J10" s="60">
        <f t="shared" si="2"/>
        <v>0</v>
      </c>
    </row>
    <row r="11" spans="1:10" outlineLevel="1" x14ac:dyDescent="0.35">
      <c r="A11" s="59" t="s">
        <v>10</v>
      </c>
      <c r="B11" s="62">
        <f>IFERROR((SUM(B4:B8)-B9-B10)/(COUNT(B4:B8)-2),0)</f>
        <v>3.0666666666666664</v>
      </c>
      <c r="C11" s="62">
        <f t="shared" ref="C11:J11" si="3">IFERROR((SUM(C4:C8)-C9-C10)/(COUNT(C4:C8)-2),0)</f>
        <v>3.15</v>
      </c>
      <c r="D11" s="62">
        <f t="shared" si="3"/>
        <v>0</v>
      </c>
      <c r="E11" s="62">
        <f t="shared" si="3"/>
        <v>3.0916666666666663</v>
      </c>
      <c r="F11" s="62">
        <f t="shared" si="3"/>
        <v>3.1500000000000008</v>
      </c>
      <c r="G11" s="62">
        <f t="shared" si="3"/>
        <v>3.4</v>
      </c>
      <c r="H11" s="62">
        <f t="shared" si="3"/>
        <v>3.1416666666666671</v>
      </c>
      <c r="I11" s="62">
        <f t="shared" si="3"/>
        <v>0</v>
      </c>
      <c r="J11" s="62">
        <f t="shared" si="3"/>
        <v>0</v>
      </c>
    </row>
    <row r="12" spans="1:10" outlineLevel="1" x14ac:dyDescent="0.35">
      <c r="A12" s="59" t="s">
        <v>11</v>
      </c>
      <c r="B12" s="63">
        <f>+B11*Novice!$F$2</f>
        <v>3.0666666666666664</v>
      </c>
      <c r="C12" s="63">
        <f>+C11*Novice!$F$2</f>
        <v>3.15</v>
      </c>
      <c r="D12" s="63">
        <f>+D11*Novice!$F$2</f>
        <v>0</v>
      </c>
      <c r="E12" s="63">
        <f>+E11*Novice!$F$2</f>
        <v>3.0916666666666663</v>
      </c>
      <c r="F12" s="63">
        <f>+F11*Novice!$F$2</f>
        <v>3.1500000000000008</v>
      </c>
      <c r="G12" s="63">
        <f>+G11*Novice!$F$2</f>
        <v>3.4</v>
      </c>
      <c r="H12" s="63">
        <f>+H11*Novice!$F$2</f>
        <v>3.1416666666666671</v>
      </c>
      <c r="I12" s="63">
        <f>+I11*Novice!$F$2</f>
        <v>0</v>
      </c>
      <c r="J12" s="63">
        <f>+J11*Novice!$F$2</f>
        <v>0</v>
      </c>
    </row>
    <row r="14" spans="1:10" outlineLevel="1" x14ac:dyDescent="0.35">
      <c r="A14" s="59" t="str">
        <f>Novice!D3</f>
        <v>Front Pike Sommersault</v>
      </c>
      <c r="B14" s="59">
        <v>1</v>
      </c>
      <c r="C14" s="59">
        <v>2</v>
      </c>
      <c r="D14" s="84">
        <v>3</v>
      </c>
      <c r="E14" s="59">
        <v>4</v>
      </c>
      <c r="F14" s="59">
        <v>5</v>
      </c>
      <c r="G14" s="59">
        <v>6</v>
      </c>
      <c r="H14" s="59">
        <v>7</v>
      </c>
      <c r="I14" s="59">
        <v>8</v>
      </c>
      <c r="J14" s="59">
        <v>9</v>
      </c>
    </row>
    <row r="15" spans="1:10" outlineLevel="1" x14ac:dyDescent="0.35">
      <c r="A15" s="60" t="s">
        <v>14</v>
      </c>
      <c r="B15" s="82">
        <v>2.6</v>
      </c>
      <c r="C15" s="82">
        <v>2.4</v>
      </c>
      <c r="D15" s="82">
        <v>0</v>
      </c>
      <c r="E15" s="82">
        <v>2.4</v>
      </c>
      <c r="F15" s="82">
        <v>3.1</v>
      </c>
      <c r="G15" s="82">
        <v>3.9</v>
      </c>
      <c r="H15" s="82">
        <v>3.5</v>
      </c>
      <c r="I15" s="82"/>
      <c r="J15" s="82"/>
    </row>
    <row r="16" spans="1:10" outlineLevel="1" x14ac:dyDescent="0.35">
      <c r="A16" s="60" t="s">
        <v>15</v>
      </c>
      <c r="B16" s="82">
        <v>2.9</v>
      </c>
      <c r="C16" s="82">
        <v>2.5</v>
      </c>
      <c r="D16" s="82">
        <v>0</v>
      </c>
      <c r="E16" s="82">
        <v>2.9</v>
      </c>
      <c r="F16" s="82">
        <v>2.6</v>
      </c>
      <c r="G16" s="82">
        <v>4</v>
      </c>
      <c r="H16" s="82">
        <v>3.5</v>
      </c>
      <c r="I16" s="82"/>
      <c r="J16" s="82"/>
    </row>
    <row r="17" spans="1:10" outlineLevel="1" x14ac:dyDescent="0.35">
      <c r="A17" s="60" t="s">
        <v>16</v>
      </c>
      <c r="B17" s="82">
        <v>2.8</v>
      </c>
      <c r="C17" s="82">
        <v>2.6</v>
      </c>
      <c r="D17" s="82">
        <v>0</v>
      </c>
      <c r="E17" s="82">
        <v>2.8</v>
      </c>
      <c r="F17" s="82">
        <v>3</v>
      </c>
      <c r="G17" s="82">
        <v>3.9</v>
      </c>
      <c r="H17" s="82">
        <v>3.4</v>
      </c>
      <c r="I17" s="82"/>
      <c r="J17" s="82"/>
    </row>
    <row r="18" spans="1:10" outlineLevel="1" x14ac:dyDescent="0.35">
      <c r="A18" s="60" t="s">
        <v>17</v>
      </c>
      <c r="B18" s="82">
        <v>3.1</v>
      </c>
      <c r="C18" s="82">
        <v>3.2</v>
      </c>
      <c r="D18" s="82">
        <v>0</v>
      </c>
      <c r="E18" s="82">
        <v>3</v>
      </c>
      <c r="F18" s="82">
        <v>3</v>
      </c>
      <c r="G18" s="82">
        <v>3.4</v>
      </c>
      <c r="H18" s="82">
        <v>3.3</v>
      </c>
      <c r="I18" s="82"/>
      <c r="J18" s="82"/>
    </row>
    <row r="19" spans="1:10" outlineLevel="1" x14ac:dyDescent="0.35">
      <c r="A19" s="60" t="s">
        <v>18</v>
      </c>
      <c r="B19" s="9">
        <f>IFERROR(AVERAGE(B15:B18),"")</f>
        <v>2.85</v>
      </c>
      <c r="C19" s="9">
        <f t="shared" ref="C19" si="4">IFERROR(AVERAGE(C15:C18),"")</f>
        <v>2.6749999999999998</v>
      </c>
      <c r="D19" s="9">
        <f t="shared" ref="D19" si="5">IFERROR(AVERAGE(D15:D18),"")</f>
        <v>0</v>
      </c>
      <c r="E19" s="9">
        <f t="shared" ref="E19" si="6">IFERROR(AVERAGE(E15:E18),"")</f>
        <v>2.7749999999999999</v>
      </c>
      <c r="F19" s="9">
        <f t="shared" ref="F19" si="7">IFERROR(AVERAGE(F15:F18),"")</f>
        <v>2.9249999999999998</v>
      </c>
      <c r="G19" s="9">
        <f t="shared" ref="G19" si="8">IFERROR(AVERAGE(G15:G18),"")</f>
        <v>3.8000000000000003</v>
      </c>
      <c r="H19" s="9">
        <f t="shared" ref="H19" si="9">IFERROR(AVERAGE(H15:H18),"")</f>
        <v>3.4249999999999998</v>
      </c>
      <c r="I19" s="9" t="str">
        <f t="shared" ref="I19" si="10">IFERROR(AVERAGE(I15:I18),"")</f>
        <v/>
      </c>
      <c r="J19" s="9" t="str">
        <f t="shared" ref="J19" si="11">IFERROR(AVERAGE(J15:J18),"")</f>
        <v/>
      </c>
    </row>
    <row r="20" spans="1:10" outlineLevel="1" x14ac:dyDescent="0.35">
      <c r="A20" s="59" t="s">
        <v>8</v>
      </c>
      <c r="B20" s="60">
        <f>+MAX(B15:B19)</f>
        <v>3.1</v>
      </c>
      <c r="C20" s="60">
        <f t="shared" ref="C20:J20" si="12">+MAX(C15:C19)</f>
        <v>3.2</v>
      </c>
      <c r="D20" s="60">
        <f t="shared" si="12"/>
        <v>0</v>
      </c>
      <c r="E20" s="60">
        <f t="shared" si="12"/>
        <v>3</v>
      </c>
      <c r="F20" s="60">
        <f t="shared" si="12"/>
        <v>3.1</v>
      </c>
      <c r="G20" s="60">
        <f t="shared" si="12"/>
        <v>4</v>
      </c>
      <c r="H20" s="60">
        <f t="shared" si="12"/>
        <v>3.5</v>
      </c>
      <c r="I20" s="60">
        <f t="shared" si="12"/>
        <v>0</v>
      </c>
      <c r="J20" s="60">
        <f t="shared" si="12"/>
        <v>0</v>
      </c>
    </row>
    <row r="21" spans="1:10" outlineLevel="1" x14ac:dyDescent="0.35">
      <c r="A21" s="59" t="s">
        <v>9</v>
      </c>
      <c r="B21" s="60">
        <f>+MIN(B15:B19)</f>
        <v>2.6</v>
      </c>
      <c r="C21" s="60">
        <f t="shared" ref="C21:J21" si="13">+MIN(C15:C19)</f>
        <v>2.4</v>
      </c>
      <c r="D21" s="60">
        <f t="shared" si="13"/>
        <v>0</v>
      </c>
      <c r="E21" s="60">
        <f t="shared" si="13"/>
        <v>2.4</v>
      </c>
      <c r="F21" s="60">
        <f t="shared" si="13"/>
        <v>2.6</v>
      </c>
      <c r="G21" s="60">
        <f t="shared" si="13"/>
        <v>3.4</v>
      </c>
      <c r="H21" s="60">
        <f t="shared" si="13"/>
        <v>3.3</v>
      </c>
      <c r="I21" s="60">
        <f t="shared" si="13"/>
        <v>0</v>
      </c>
      <c r="J21" s="60">
        <f t="shared" si="13"/>
        <v>0</v>
      </c>
    </row>
    <row r="22" spans="1:10" outlineLevel="1" x14ac:dyDescent="0.35">
      <c r="A22" s="59" t="s">
        <v>10</v>
      </c>
      <c r="B22" s="62">
        <f>IFERROR((SUM(B15:B19)-B20-B21)/(COUNT(B15:B19)-2),0)</f>
        <v>2.85</v>
      </c>
      <c r="C22" s="62">
        <f t="shared" ref="C22:J22" si="14">IFERROR((SUM(C15:C19)-C20-C21)/(COUNT(C15:C19)-2),0)</f>
        <v>2.5916666666666668</v>
      </c>
      <c r="D22" s="62">
        <f t="shared" si="14"/>
        <v>0</v>
      </c>
      <c r="E22" s="62">
        <f t="shared" si="14"/>
        <v>2.8249999999999997</v>
      </c>
      <c r="F22" s="62">
        <f t="shared" si="14"/>
        <v>2.9750000000000001</v>
      </c>
      <c r="G22" s="62">
        <f t="shared" si="14"/>
        <v>3.8666666666666667</v>
      </c>
      <c r="H22" s="62">
        <f t="shared" si="14"/>
        <v>3.4416666666666664</v>
      </c>
      <c r="I22" s="62">
        <f t="shared" si="14"/>
        <v>0</v>
      </c>
      <c r="J22" s="62">
        <f t="shared" si="14"/>
        <v>0</v>
      </c>
    </row>
    <row r="23" spans="1:10" outlineLevel="1" x14ac:dyDescent="0.35">
      <c r="A23" s="59" t="s">
        <v>11</v>
      </c>
      <c r="B23" s="63">
        <f>+B22*Novice!$F$3</f>
        <v>4.8449999999999998</v>
      </c>
      <c r="C23" s="63">
        <f>+C22*Novice!$F$3</f>
        <v>4.4058333333333337</v>
      </c>
      <c r="D23" s="63">
        <f>+D22*Novice!$F$3</f>
        <v>0</v>
      </c>
      <c r="E23" s="63">
        <f>+E22*Novice!$F$3</f>
        <v>4.8024999999999993</v>
      </c>
      <c r="F23" s="63">
        <f>+F22*Novice!$F$3</f>
        <v>5.0575000000000001</v>
      </c>
      <c r="G23" s="63">
        <f>+G22*Novice!$F$3</f>
        <v>6.5733333333333333</v>
      </c>
      <c r="H23" s="63">
        <f>+H22*Novice!$F$3</f>
        <v>5.8508333333333331</v>
      </c>
      <c r="I23" s="63">
        <f>+I22*Novice!$F$3</f>
        <v>0</v>
      </c>
      <c r="J23" s="63">
        <f>+J22*Novice!$F$3</f>
        <v>0</v>
      </c>
    </row>
    <row r="25" spans="1:10" outlineLevel="1" x14ac:dyDescent="0.35">
      <c r="A25" s="59" t="str">
        <f>Novice!D4</f>
        <v>Blossom</v>
      </c>
      <c r="B25" s="59">
        <v>1</v>
      </c>
      <c r="C25" s="59">
        <v>2</v>
      </c>
      <c r="D25" s="59">
        <v>3</v>
      </c>
      <c r="E25" s="59">
        <v>4</v>
      </c>
      <c r="F25" s="84">
        <v>5</v>
      </c>
      <c r="G25" s="59">
        <v>6</v>
      </c>
      <c r="H25" s="59">
        <v>7</v>
      </c>
      <c r="I25" s="59">
        <v>8</v>
      </c>
      <c r="J25" s="59">
        <v>9</v>
      </c>
    </row>
    <row r="26" spans="1:10" outlineLevel="1" x14ac:dyDescent="0.35">
      <c r="A26" s="60" t="s">
        <v>14</v>
      </c>
      <c r="B26" s="82">
        <v>2</v>
      </c>
      <c r="C26" s="82">
        <v>2.2000000000000002</v>
      </c>
      <c r="D26" s="82">
        <v>0</v>
      </c>
      <c r="E26" s="82">
        <v>2</v>
      </c>
      <c r="F26" s="82">
        <v>3</v>
      </c>
      <c r="G26" s="82">
        <v>3</v>
      </c>
      <c r="H26" s="82">
        <v>2.6</v>
      </c>
      <c r="I26" s="82"/>
      <c r="J26" s="82"/>
    </row>
    <row r="27" spans="1:10" outlineLevel="1" x14ac:dyDescent="0.35">
      <c r="A27" s="60" t="s">
        <v>15</v>
      </c>
      <c r="B27" s="82">
        <v>2.2999999999999998</v>
      </c>
      <c r="C27" s="82">
        <v>2.2000000000000002</v>
      </c>
      <c r="D27" s="82">
        <v>0</v>
      </c>
      <c r="E27" s="82">
        <v>2</v>
      </c>
      <c r="F27" s="82">
        <v>3</v>
      </c>
      <c r="G27" s="82">
        <v>2.7</v>
      </c>
      <c r="H27" s="82">
        <v>2.5</v>
      </c>
      <c r="I27" s="82"/>
      <c r="J27" s="82"/>
    </row>
    <row r="28" spans="1:10" outlineLevel="1" x14ac:dyDescent="0.35">
      <c r="A28" s="60" t="s">
        <v>16</v>
      </c>
      <c r="B28" s="82">
        <v>2.2000000000000002</v>
      </c>
      <c r="C28" s="82">
        <v>2.2999999999999998</v>
      </c>
      <c r="D28" s="82">
        <v>0</v>
      </c>
      <c r="E28" s="82">
        <v>2</v>
      </c>
      <c r="F28" s="82">
        <v>2.6</v>
      </c>
      <c r="G28" s="82">
        <v>2.8</v>
      </c>
      <c r="H28" s="82">
        <v>2.6</v>
      </c>
      <c r="I28" s="82"/>
      <c r="J28" s="82"/>
    </row>
    <row r="29" spans="1:10" outlineLevel="1" x14ac:dyDescent="0.35">
      <c r="A29" s="60" t="s">
        <v>17</v>
      </c>
      <c r="B29" s="82">
        <v>2</v>
      </c>
      <c r="C29" s="82">
        <v>2</v>
      </c>
      <c r="D29" s="82">
        <v>0</v>
      </c>
      <c r="E29" s="82">
        <v>1.9</v>
      </c>
      <c r="F29" s="82">
        <v>3.1</v>
      </c>
      <c r="G29" s="82">
        <v>3.5</v>
      </c>
      <c r="H29" s="82">
        <v>3.3</v>
      </c>
      <c r="I29" s="82"/>
      <c r="J29" s="82"/>
    </row>
    <row r="30" spans="1:10" outlineLevel="1" x14ac:dyDescent="0.35">
      <c r="A30" s="60" t="s">
        <v>18</v>
      </c>
      <c r="B30" s="9">
        <f>IFERROR(AVERAGE(B26:B29),"")</f>
        <v>2.125</v>
      </c>
      <c r="C30" s="9">
        <f t="shared" ref="C30" si="15">IFERROR(AVERAGE(C26:C29),"")</f>
        <v>2.1749999999999998</v>
      </c>
      <c r="D30" s="9">
        <f t="shared" ref="D30" si="16">IFERROR(AVERAGE(D26:D29),"")</f>
        <v>0</v>
      </c>
      <c r="E30" s="9">
        <f t="shared" ref="E30" si="17">IFERROR(AVERAGE(E26:E29),"")</f>
        <v>1.9750000000000001</v>
      </c>
      <c r="F30" s="9">
        <f t="shared" ref="F30" si="18">IFERROR(AVERAGE(F26:F29),"")</f>
        <v>2.9249999999999998</v>
      </c>
      <c r="G30" s="9">
        <f t="shared" ref="G30" si="19">IFERROR(AVERAGE(G26:G29),"")</f>
        <v>3</v>
      </c>
      <c r="H30" s="9">
        <f t="shared" ref="H30" si="20">IFERROR(AVERAGE(H26:H29),"")</f>
        <v>2.75</v>
      </c>
      <c r="I30" s="9" t="str">
        <f t="shared" ref="I30" si="21">IFERROR(AVERAGE(I26:I29),"")</f>
        <v/>
      </c>
      <c r="J30" s="9" t="str">
        <f t="shared" ref="J30" si="22">IFERROR(AVERAGE(J26:J29),"")</f>
        <v/>
      </c>
    </row>
    <row r="31" spans="1:10" outlineLevel="1" x14ac:dyDescent="0.35">
      <c r="A31" s="59" t="s">
        <v>8</v>
      </c>
      <c r="B31" s="60">
        <f>+MAX(B26:B30)</f>
        <v>2.2999999999999998</v>
      </c>
      <c r="C31" s="60">
        <f t="shared" ref="C31:J31" si="23">+MAX(C26:C30)</f>
        <v>2.2999999999999998</v>
      </c>
      <c r="D31" s="60">
        <f t="shared" si="23"/>
        <v>0</v>
      </c>
      <c r="E31" s="60">
        <f t="shared" si="23"/>
        <v>2</v>
      </c>
      <c r="F31" s="60">
        <f t="shared" si="23"/>
        <v>3.1</v>
      </c>
      <c r="G31" s="60">
        <f t="shared" si="23"/>
        <v>3.5</v>
      </c>
      <c r="H31" s="60">
        <f t="shared" si="23"/>
        <v>3.3</v>
      </c>
      <c r="I31" s="60">
        <f t="shared" si="23"/>
        <v>0</v>
      </c>
      <c r="J31" s="60">
        <f t="shared" si="23"/>
        <v>0</v>
      </c>
    </row>
    <row r="32" spans="1:10" outlineLevel="1" x14ac:dyDescent="0.35">
      <c r="A32" s="59" t="s">
        <v>9</v>
      </c>
      <c r="B32" s="60">
        <f>+MIN(B26:B30)</f>
        <v>2</v>
      </c>
      <c r="C32" s="60">
        <f t="shared" ref="C32:J32" si="24">+MIN(C26:C30)</f>
        <v>2</v>
      </c>
      <c r="D32" s="60">
        <f t="shared" si="24"/>
        <v>0</v>
      </c>
      <c r="E32" s="60">
        <f t="shared" si="24"/>
        <v>1.9</v>
      </c>
      <c r="F32" s="60">
        <f t="shared" si="24"/>
        <v>2.6</v>
      </c>
      <c r="G32" s="60">
        <f t="shared" si="24"/>
        <v>2.7</v>
      </c>
      <c r="H32" s="60">
        <f t="shared" si="24"/>
        <v>2.5</v>
      </c>
      <c r="I32" s="60">
        <f t="shared" si="24"/>
        <v>0</v>
      </c>
      <c r="J32" s="60">
        <f t="shared" si="24"/>
        <v>0</v>
      </c>
    </row>
    <row r="33" spans="1:10" outlineLevel="1" x14ac:dyDescent="0.35">
      <c r="A33" s="59" t="s">
        <v>10</v>
      </c>
      <c r="B33" s="62">
        <f>IFERROR((SUM(B26:B30)-B31-B32)/(COUNT(B26:B30)-2),0)</f>
        <v>2.1083333333333329</v>
      </c>
      <c r="C33" s="62">
        <f t="shared" ref="C33:J33" si="25">IFERROR((SUM(C26:C30)-C31-C32)/(COUNT(C26:C30)-2),0)</f>
        <v>2.1916666666666664</v>
      </c>
      <c r="D33" s="62">
        <f t="shared" si="25"/>
        <v>0</v>
      </c>
      <c r="E33" s="62">
        <f t="shared" si="25"/>
        <v>1.9916666666666665</v>
      </c>
      <c r="F33" s="62">
        <f t="shared" si="25"/>
        <v>2.9750000000000001</v>
      </c>
      <c r="G33" s="62">
        <f t="shared" si="25"/>
        <v>2.9333333333333336</v>
      </c>
      <c r="H33" s="62">
        <f t="shared" si="25"/>
        <v>2.65</v>
      </c>
      <c r="I33" s="62">
        <f t="shared" si="25"/>
        <v>0</v>
      </c>
      <c r="J33" s="62">
        <f t="shared" si="25"/>
        <v>0</v>
      </c>
    </row>
    <row r="34" spans="1:10" outlineLevel="1" x14ac:dyDescent="0.35">
      <c r="A34" s="59" t="s">
        <v>11</v>
      </c>
      <c r="B34" s="62">
        <f>+B33*Novice!$F$4</f>
        <v>2.9516666666666658</v>
      </c>
      <c r="C34" s="62">
        <f>+C33*Novice!$F$4</f>
        <v>3.0683333333333329</v>
      </c>
      <c r="D34" s="62">
        <f>+D33*Novice!$F$4</f>
        <v>0</v>
      </c>
      <c r="E34" s="62">
        <f>+E33*Novice!$F$4</f>
        <v>2.7883333333333331</v>
      </c>
      <c r="F34" s="62">
        <f>+F33*Novice!$F$4</f>
        <v>4.165</v>
      </c>
      <c r="G34" s="62">
        <f>+G33*Novice!$F$4</f>
        <v>4.1066666666666665</v>
      </c>
      <c r="H34" s="62">
        <f>+H33*Novice!$F$4</f>
        <v>3.7099999999999995</v>
      </c>
      <c r="I34" s="62">
        <f>+I33*Novice!$F$4</f>
        <v>0</v>
      </c>
      <c r="J34" s="62">
        <f>+J33*Novice!$F$4</f>
        <v>0</v>
      </c>
    </row>
    <row r="36" spans="1:10" outlineLevel="1" x14ac:dyDescent="0.35">
      <c r="A36" s="59" t="str">
        <f>Novice!D5</f>
        <v>Back tuck somersault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6</v>
      </c>
      <c r="H36" s="84">
        <v>7</v>
      </c>
      <c r="I36" s="59">
        <v>8</v>
      </c>
      <c r="J36" s="59">
        <v>9</v>
      </c>
    </row>
    <row r="37" spans="1:10" outlineLevel="1" x14ac:dyDescent="0.35">
      <c r="A37" s="60" t="s">
        <v>14</v>
      </c>
      <c r="B37" s="82">
        <v>3</v>
      </c>
      <c r="C37" s="82">
        <v>3.4</v>
      </c>
      <c r="D37" s="82">
        <v>0</v>
      </c>
      <c r="E37" s="82">
        <v>3.2</v>
      </c>
      <c r="F37" s="82">
        <v>4</v>
      </c>
      <c r="G37" s="82">
        <v>4</v>
      </c>
      <c r="H37" s="82">
        <v>2.8</v>
      </c>
      <c r="I37" s="82"/>
      <c r="J37" s="82"/>
    </row>
    <row r="38" spans="1:10" outlineLevel="1" x14ac:dyDescent="0.35">
      <c r="A38" s="60" t="s">
        <v>15</v>
      </c>
      <c r="B38" s="82">
        <v>3.5</v>
      </c>
      <c r="C38" s="82">
        <v>3.7</v>
      </c>
      <c r="D38" s="82">
        <v>0</v>
      </c>
      <c r="E38" s="82">
        <v>3</v>
      </c>
      <c r="F38" s="82">
        <v>3.8</v>
      </c>
      <c r="G38" s="82">
        <v>3.7</v>
      </c>
      <c r="H38" s="82">
        <v>3.1</v>
      </c>
      <c r="I38" s="82"/>
      <c r="J38" s="82"/>
    </row>
    <row r="39" spans="1:10" outlineLevel="1" x14ac:dyDescent="0.35">
      <c r="A39" s="60" t="s">
        <v>16</v>
      </c>
      <c r="B39" s="82">
        <v>3.3</v>
      </c>
      <c r="C39" s="82">
        <v>3.5</v>
      </c>
      <c r="D39" s="82">
        <v>0</v>
      </c>
      <c r="E39" s="82">
        <v>3</v>
      </c>
      <c r="F39" s="82">
        <v>3.7</v>
      </c>
      <c r="G39" s="82">
        <v>3.7</v>
      </c>
      <c r="H39" s="82">
        <v>3</v>
      </c>
      <c r="I39" s="82"/>
      <c r="J39" s="82"/>
    </row>
    <row r="40" spans="1:10" outlineLevel="1" x14ac:dyDescent="0.35">
      <c r="A40" s="60" t="s">
        <v>17</v>
      </c>
      <c r="B40" s="82">
        <v>3.1</v>
      </c>
      <c r="C40" s="82">
        <v>3.2</v>
      </c>
      <c r="D40" s="82">
        <v>0</v>
      </c>
      <c r="E40" s="82">
        <v>3.3</v>
      </c>
      <c r="F40" s="82">
        <v>4</v>
      </c>
      <c r="G40" s="82">
        <v>3.5</v>
      </c>
      <c r="H40" s="82">
        <v>3.3</v>
      </c>
      <c r="I40" s="82"/>
      <c r="J40" s="82"/>
    </row>
    <row r="41" spans="1:10" outlineLevel="1" x14ac:dyDescent="0.35">
      <c r="A41" s="60" t="s">
        <v>18</v>
      </c>
      <c r="B41" s="9">
        <f>IFERROR(AVERAGE(B37:B40),"")</f>
        <v>3.2250000000000001</v>
      </c>
      <c r="C41" s="9">
        <f t="shared" ref="C41" si="26">IFERROR(AVERAGE(C37:C40),"")</f>
        <v>3.45</v>
      </c>
      <c r="D41" s="9">
        <f t="shared" ref="D41" si="27">IFERROR(AVERAGE(D37:D40),"")</f>
        <v>0</v>
      </c>
      <c r="E41" s="9">
        <f t="shared" ref="E41" si="28">IFERROR(AVERAGE(E37:E40),"")</f>
        <v>3.125</v>
      </c>
      <c r="F41" s="9">
        <f t="shared" ref="F41" si="29">IFERROR(AVERAGE(F37:F40),"")</f>
        <v>3.875</v>
      </c>
      <c r="G41" s="9">
        <f t="shared" ref="G41" si="30">IFERROR(AVERAGE(G37:G40),"")</f>
        <v>3.7250000000000001</v>
      </c>
      <c r="H41" s="9">
        <f t="shared" ref="H41" si="31">IFERROR(AVERAGE(H37:H40),"")</f>
        <v>3.05</v>
      </c>
      <c r="I41" s="9" t="str">
        <f t="shared" ref="I41" si="32">IFERROR(AVERAGE(I37:I40),"")</f>
        <v/>
      </c>
      <c r="J41" s="9" t="str">
        <f t="shared" ref="J41" si="33">IFERROR(AVERAGE(J37:J40),"")</f>
        <v/>
      </c>
    </row>
    <row r="42" spans="1:10" outlineLevel="1" x14ac:dyDescent="0.35">
      <c r="A42" s="59" t="s">
        <v>8</v>
      </c>
      <c r="B42" s="60">
        <f>+MAX(B37:B41)</f>
        <v>3.5</v>
      </c>
      <c r="C42" s="60">
        <f t="shared" ref="C42:J42" si="34">+MAX(C37:C41)</f>
        <v>3.7</v>
      </c>
      <c r="D42" s="60">
        <f t="shared" si="34"/>
        <v>0</v>
      </c>
      <c r="E42" s="60">
        <f t="shared" si="34"/>
        <v>3.3</v>
      </c>
      <c r="F42" s="60">
        <f t="shared" si="34"/>
        <v>4</v>
      </c>
      <c r="G42" s="60">
        <f t="shared" si="34"/>
        <v>4</v>
      </c>
      <c r="H42" s="60">
        <f t="shared" si="34"/>
        <v>3.3</v>
      </c>
      <c r="I42" s="60">
        <f t="shared" si="34"/>
        <v>0</v>
      </c>
      <c r="J42" s="60">
        <f t="shared" si="34"/>
        <v>0</v>
      </c>
    </row>
    <row r="43" spans="1:10" outlineLevel="1" x14ac:dyDescent="0.35">
      <c r="A43" s="59" t="s">
        <v>9</v>
      </c>
      <c r="B43" s="60">
        <f>+MIN(B37:B41)</f>
        <v>3</v>
      </c>
      <c r="C43" s="60">
        <f t="shared" ref="C43:J43" si="35">+MIN(C37:C41)</f>
        <v>3.2</v>
      </c>
      <c r="D43" s="60">
        <f t="shared" si="35"/>
        <v>0</v>
      </c>
      <c r="E43" s="60">
        <f t="shared" si="35"/>
        <v>3</v>
      </c>
      <c r="F43" s="60">
        <f t="shared" si="35"/>
        <v>3.7</v>
      </c>
      <c r="G43" s="60">
        <f t="shared" si="35"/>
        <v>3.5</v>
      </c>
      <c r="H43" s="60">
        <f t="shared" si="35"/>
        <v>2.8</v>
      </c>
      <c r="I43" s="60">
        <f t="shared" si="35"/>
        <v>0</v>
      </c>
      <c r="J43" s="60">
        <f t="shared" si="35"/>
        <v>0</v>
      </c>
    </row>
    <row r="44" spans="1:10" outlineLevel="1" x14ac:dyDescent="0.35">
      <c r="A44" s="59" t="s">
        <v>10</v>
      </c>
      <c r="B44" s="62">
        <f>IFERROR((SUM(B37:B41)-B42-B43)/(COUNT(B37:B41)-2),0)</f>
        <v>3.2083333333333335</v>
      </c>
      <c r="C44" s="62">
        <f t="shared" ref="C44:J44" si="36">IFERROR((SUM(C37:C41)-C42-C43)/(COUNT(C37:C41)-2),0)</f>
        <v>3.4500000000000006</v>
      </c>
      <c r="D44" s="62">
        <f t="shared" si="36"/>
        <v>0</v>
      </c>
      <c r="E44" s="62">
        <f t="shared" si="36"/>
        <v>3.1083333333333329</v>
      </c>
      <c r="F44" s="62">
        <f t="shared" si="36"/>
        <v>3.8916666666666671</v>
      </c>
      <c r="G44" s="62">
        <f t="shared" si="36"/>
        <v>3.7083333333333335</v>
      </c>
      <c r="H44" s="62">
        <f t="shared" si="36"/>
        <v>3.0499999999999994</v>
      </c>
      <c r="I44" s="62">
        <f t="shared" si="36"/>
        <v>0</v>
      </c>
      <c r="J44" s="62">
        <f t="shared" si="36"/>
        <v>0</v>
      </c>
    </row>
    <row r="45" spans="1:10" outlineLevel="1" x14ac:dyDescent="0.35">
      <c r="A45" s="59" t="s">
        <v>11</v>
      </c>
      <c r="B45" s="62">
        <f>+B44*Novice!$F$5</f>
        <v>3.5291666666666672</v>
      </c>
      <c r="C45" s="62">
        <f>+C44*Novice!$F$5</f>
        <v>3.7950000000000008</v>
      </c>
      <c r="D45" s="62">
        <f>+D44*Novice!$F$5</f>
        <v>0</v>
      </c>
      <c r="E45" s="62">
        <f>+E44*Novice!$F$5</f>
        <v>3.4191666666666665</v>
      </c>
      <c r="F45" s="62">
        <f>+F44*Novice!$F$5</f>
        <v>4.2808333333333337</v>
      </c>
      <c r="G45" s="62">
        <f>+G44*Novice!$F$5</f>
        <v>4.0791666666666675</v>
      </c>
      <c r="H45" s="62">
        <f>+H44*Novice!$F$5</f>
        <v>3.3549999999999995</v>
      </c>
      <c r="I45" s="62">
        <f>+I44*Novice!$F$5</f>
        <v>0</v>
      </c>
      <c r="J45" s="62">
        <f>+J44*Novice!$F$5</f>
        <v>0</v>
      </c>
    </row>
    <row r="46" spans="1:10" x14ac:dyDescent="0.35"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35">
      <c r="A47" s="59" t="s">
        <v>60</v>
      </c>
      <c r="B47" s="59"/>
      <c r="C47" s="59"/>
      <c r="D47" s="59"/>
      <c r="E47" s="59"/>
      <c r="F47" s="59"/>
      <c r="G47" s="59"/>
      <c r="H47" s="59"/>
      <c r="I47" s="59"/>
      <c r="J47" s="59"/>
    </row>
    <row r="48" spans="1:10" x14ac:dyDescent="0.35">
      <c r="A48" s="59" t="s">
        <v>13</v>
      </c>
      <c r="B48" s="77">
        <f>+ROUND(((+B12+B23+B34+B45)/Novice!$F$6*10)-B47,3)</f>
        <v>27.678000000000001</v>
      </c>
      <c r="C48" s="77">
        <f>+ROUND(((+C12+C23+C34+C45)/Novice!$F$6*10)-C47,3)</f>
        <v>27.728999999999999</v>
      </c>
      <c r="D48" s="77">
        <f>+ROUND(((+D12+D23+D34+D45)/Novice!$F$6*10)-D47,3)</f>
        <v>0</v>
      </c>
      <c r="E48" s="77">
        <f>+ROUND(((+E12+E23+E34+E45)/Novice!$F$6*10)-E47,3)</f>
        <v>27.119</v>
      </c>
      <c r="F48" s="77">
        <f>+ROUND(((+F12+F23+F34+F45)/Novice!$F$6*10)-F47,3)</f>
        <v>32.026000000000003</v>
      </c>
      <c r="G48" s="77">
        <f>+ROUND(((+G12+G23+G34+G45)/Novice!$F$6*10)-G47,3)</f>
        <v>34.920999999999999</v>
      </c>
      <c r="H48" s="77">
        <f>+ROUND(((+H12+H23+H34+H45)/Novice!$F$6*10)-H47,3)</f>
        <v>30.88</v>
      </c>
      <c r="I48" s="77">
        <f>+ROUND(((+I12+I23+I34+I45)/Novice!$F$6*10)-I47,3)</f>
        <v>0</v>
      </c>
      <c r="J48" s="77">
        <f>+ROUND(((+J12+J23+J34+J45)/Novice!$F$6*10)-J47,3)</f>
        <v>0</v>
      </c>
    </row>
  </sheetData>
  <sheetProtection password="D8D7" sheet="1" objects="1" scenarios="1" selectLockedCells="1"/>
  <pageMargins left="0.7" right="0.7" top="0.75" bottom="0.75" header="0.3" footer="0.3"/>
  <pageSetup paperSize="9" scale="73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C5" workbookViewId="0">
      <selection activeCell="L18" sqref="L18"/>
    </sheetView>
  </sheetViews>
  <sheetFormatPr defaultRowHeight="14.5" x14ac:dyDescent="0.35"/>
  <cols>
    <col min="1" max="1" width="0.7265625" hidden="1" customWidth="1"/>
    <col min="2" max="2" width="9.1796875" hidden="1" customWidth="1"/>
    <col min="3" max="3" width="5.7265625" customWidth="1"/>
    <col min="4" max="4" width="26.81640625" bestFit="1" customWidth="1"/>
    <col min="5" max="5" width="19.54296875" customWidth="1"/>
    <col min="6" max="7" width="11.54296875" customWidth="1"/>
    <col min="8" max="8" width="13.453125" customWidth="1"/>
    <col min="9" max="9" width="19" customWidth="1"/>
    <col min="10" max="10" width="12.81640625" customWidth="1"/>
    <col min="11" max="11" width="12.54296875" customWidth="1"/>
    <col min="12" max="12" width="13.1796875" bestFit="1" customWidth="1"/>
  </cols>
  <sheetData>
    <row r="1" spans="1:20" x14ac:dyDescent="0.35">
      <c r="D1" s="11" t="s">
        <v>3</v>
      </c>
      <c r="E1" s="8" t="s">
        <v>7</v>
      </c>
      <c r="F1" s="8" t="s">
        <v>4</v>
      </c>
      <c r="H1" s="17" t="s">
        <v>14</v>
      </c>
      <c r="I1" s="82"/>
    </row>
    <row r="2" spans="1:20" ht="15.5" x14ac:dyDescent="0.35">
      <c r="D2" s="9" t="s">
        <v>176</v>
      </c>
      <c r="E2" s="10">
        <v>321</v>
      </c>
      <c r="F2" s="10">
        <v>2</v>
      </c>
      <c r="H2" s="17" t="s">
        <v>15</v>
      </c>
      <c r="I2" s="82"/>
      <c r="K2" s="47"/>
    </row>
    <row r="3" spans="1:20" ht="15.5" x14ac:dyDescent="0.35">
      <c r="D3" s="9" t="s">
        <v>142</v>
      </c>
      <c r="E3" s="10">
        <v>301</v>
      </c>
      <c r="F3" s="10">
        <v>2</v>
      </c>
      <c r="H3" s="17" t="s">
        <v>16</v>
      </c>
      <c r="I3" s="82"/>
      <c r="K3" s="14"/>
    </row>
    <row r="4" spans="1:20" ht="15.5" x14ac:dyDescent="0.35">
      <c r="D4" s="9" t="s">
        <v>177</v>
      </c>
      <c r="E4" s="10">
        <v>349</v>
      </c>
      <c r="F4" s="10">
        <v>1.9</v>
      </c>
      <c r="H4" s="17" t="s">
        <v>17</v>
      </c>
      <c r="I4" s="82"/>
      <c r="K4" s="14"/>
      <c r="N4" s="6"/>
    </row>
    <row r="5" spans="1:20" ht="15.5" x14ac:dyDescent="0.35">
      <c r="D5" s="9" t="s">
        <v>144</v>
      </c>
      <c r="E5" s="10">
        <v>311</v>
      </c>
      <c r="F5" s="10">
        <v>1.8</v>
      </c>
      <c r="K5" s="14"/>
      <c r="N5" s="6"/>
    </row>
    <row r="6" spans="1:20" ht="15.5" x14ac:dyDescent="0.35">
      <c r="D6" s="7" t="s">
        <v>5</v>
      </c>
      <c r="E6" s="8"/>
      <c r="F6" s="8">
        <f>SUM(F2:F5)</f>
        <v>7.7</v>
      </c>
      <c r="G6" s="28"/>
      <c r="K6" s="14"/>
      <c r="N6" s="6"/>
    </row>
    <row r="7" spans="1:20" ht="15.5" x14ac:dyDescent="0.35">
      <c r="M7" s="15"/>
      <c r="O7" s="14"/>
      <c r="S7" s="14"/>
    </row>
    <row r="8" spans="1:20" ht="15.5" x14ac:dyDescent="0.35">
      <c r="M8" s="14"/>
      <c r="O8" s="14"/>
      <c r="T8" s="14"/>
    </row>
    <row r="9" spans="1:20" ht="15.5" x14ac:dyDescent="0.35">
      <c r="D9" s="7" t="s">
        <v>0</v>
      </c>
      <c r="E9" s="9" t="str">
        <f>+Novice!E10</f>
        <v>SSA Level 1</v>
      </c>
      <c r="G9" s="87" t="s">
        <v>148</v>
      </c>
      <c r="M9" s="14"/>
      <c r="O9" s="14"/>
      <c r="T9" s="14"/>
    </row>
    <row r="10" spans="1:20" ht="15.5" x14ac:dyDescent="0.35">
      <c r="D10" s="7" t="s">
        <v>19</v>
      </c>
      <c r="E10" s="9" t="str">
        <f>+Novice!E11</f>
        <v>12 - 13 March 2016</v>
      </c>
      <c r="M10" s="14"/>
      <c r="O10" s="14"/>
      <c r="T10" s="14"/>
    </row>
    <row r="11" spans="1:20" ht="15.5" x14ac:dyDescent="0.35">
      <c r="D11" s="7" t="s">
        <v>1</v>
      </c>
      <c r="E11" s="9" t="s">
        <v>162</v>
      </c>
      <c r="M11" s="14"/>
      <c r="O11" s="14"/>
      <c r="T11" s="14"/>
    </row>
    <row r="12" spans="1:20" ht="15.5" x14ac:dyDescent="0.35">
      <c r="M12" s="14"/>
      <c r="O12" s="14"/>
      <c r="T12" s="14"/>
    </row>
    <row r="13" spans="1:20" ht="15.5" x14ac:dyDescent="0.35">
      <c r="C13" s="80" t="s">
        <v>6</v>
      </c>
      <c r="D13" s="11" t="s">
        <v>62</v>
      </c>
      <c r="E13" s="11" t="s">
        <v>63</v>
      </c>
      <c r="F13" s="8" t="s">
        <v>154</v>
      </c>
      <c r="G13" s="8" t="s">
        <v>11</v>
      </c>
      <c r="H13" s="8" t="s">
        <v>61</v>
      </c>
      <c r="I13" s="8" t="s">
        <v>21</v>
      </c>
      <c r="J13" s="8" t="s">
        <v>22</v>
      </c>
      <c r="K13" s="8" t="s">
        <v>23</v>
      </c>
      <c r="M13" s="15"/>
      <c r="O13" s="14"/>
      <c r="T13" s="14"/>
    </row>
    <row r="14" spans="1:20" x14ac:dyDescent="0.35">
      <c r="A14" s="87">
        <f>H14</f>
        <v>1</v>
      </c>
      <c r="B14" s="87">
        <f>K14</f>
        <v>1</v>
      </c>
      <c r="C14" s="82">
        <v>5</v>
      </c>
      <c r="D14" s="36" t="s">
        <v>109</v>
      </c>
      <c r="E14" s="17" t="s">
        <v>93</v>
      </c>
      <c r="F14" s="18" t="s">
        <v>108</v>
      </c>
      <c r="G14" s="22">
        <f>IFERROR(HLOOKUP(C14,'13 -15 Scores'!$B$3:$L$48,46,FALSE),"")</f>
        <v>42.856000000000002</v>
      </c>
      <c r="H14" s="18">
        <f>IF(F14&lt;&gt;"",IF(G14&lt;&gt;"",RANK(G14,$G$14:$G$23,0),""))</f>
        <v>1</v>
      </c>
      <c r="I14" s="22">
        <f>IFERROR(VLOOKUP($D14,'13-18 Solos'!$B$14:$F$22,5,FALSE),"")</f>
        <v>46</v>
      </c>
      <c r="J14" s="22">
        <f>IFERROR(ROUND(+G14*0.5+I14*0.5,3),"")</f>
        <v>44.427999999999997</v>
      </c>
      <c r="K14" s="18">
        <f>IF(J14&lt;&gt;"",RANK(J14,$J$14:$J$23,0),"")</f>
        <v>1</v>
      </c>
    </row>
    <row r="15" spans="1:20" x14ac:dyDescent="0.35">
      <c r="A15" s="87">
        <f t="shared" ref="A15:A24" si="0">H15</f>
        <v>4</v>
      </c>
      <c r="B15" s="87">
        <f t="shared" ref="B15:B24" si="1">K15</f>
        <v>3</v>
      </c>
      <c r="C15" s="82">
        <v>4</v>
      </c>
      <c r="D15" s="36" t="s">
        <v>111</v>
      </c>
      <c r="E15" s="17" t="s">
        <v>93</v>
      </c>
      <c r="F15" s="18" t="s">
        <v>108</v>
      </c>
      <c r="G15" s="22">
        <f>IFERROR(HLOOKUP(C15,'13 -15 Scores'!$B$3:$L$48,46,FALSE),"")</f>
        <v>37.709000000000003</v>
      </c>
      <c r="H15" s="18">
        <f t="shared" ref="H15:H23" si="2">IF(F15&lt;&gt;"",IF(G15&lt;&gt;"",RANK(G15,$G$14:$G$23,0),""))</f>
        <v>4</v>
      </c>
      <c r="I15" s="22">
        <f>IFERROR(VLOOKUP($D15,'13-18 Solos'!$B$14:$F$22,5,FALSE),"")</f>
        <v>40.200000000000003</v>
      </c>
      <c r="J15" s="22">
        <f t="shared" ref="J15:J23" si="3">IFERROR(ROUND(+G15*0.5+I15*0.5,3),"")</f>
        <v>38.954999999999998</v>
      </c>
      <c r="K15" s="53">
        <f t="shared" ref="K15:K23" si="4">IF(J15&lt;&gt;"",RANK(J15,$J$14:$J$23,0),"")</f>
        <v>3</v>
      </c>
    </row>
    <row r="16" spans="1:20" x14ac:dyDescent="0.35">
      <c r="A16" s="87">
        <f t="shared" si="0"/>
        <v>2</v>
      </c>
      <c r="B16" s="87" t="str">
        <f t="shared" si="1"/>
        <v/>
      </c>
      <c r="C16" s="82">
        <v>9</v>
      </c>
      <c r="D16" s="36" t="s">
        <v>112</v>
      </c>
      <c r="E16" s="17" t="s">
        <v>93</v>
      </c>
      <c r="F16" s="18" t="s">
        <v>108</v>
      </c>
      <c r="G16" s="22">
        <f>IFERROR(HLOOKUP(C16,'13 -15 Scores'!$B$3:$L$48,46,FALSE),"")</f>
        <v>41.396999999999998</v>
      </c>
      <c r="H16" s="18">
        <f t="shared" si="2"/>
        <v>2</v>
      </c>
      <c r="I16" s="42" t="str">
        <f>IFERROR(VLOOKUP($D16,'13-18 Solos'!$B$14:$F$22,5,FALSE),"")</f>
        <v/>
      </c>
      <c r="J16" s="42" t="str">
        <f t="shared" si="3"/>
        <v/>
      </c>
      <c r="K16" s="56" t="str">
        <f t="shared" si="4"/>
        <v/>
      </c>
    </row>
    <row r="17" spans="1:12" x14ac:dyDescent="0.35">
      <c r="A17" s="87">
        <f t="shared" si="0"/>
        <v>3</v>
      </c>
      <c r="B17" s="87" t="str">
        <f t="shared" si="1"/>
        <v/>
      </c>
      <c r="C17" s="82">
        <v>11</v>
      </c>
      <c r="D17" s="36" t="s">
        <v>114</v>
      </c>
      <c r="E17" s="17" t="s">
        <v>93</v>
      </c>
      <c r="F17" s="18" t="s">
        <v>108</v>
      </c>
      <c r="G17" s="22">
        <f>IFERROR(HLOOKUP(C17,'13 -15 Scores'!$B$3:$L$48,46,FALSE),"")</f>
        <v>39.83</v>
      </c>
      <c r="H17" s="18">
        <f t="shared" si="2"/>
        <v>3</v>
      </c>
      <c r="I17" s="42" t="str">
        <f>IFERROR(VLOOKUP($D17,'13-18 Solos'!$B$14:$F$22,5,FALSE),"")</f>
        <v/>
      </c>
      <c r="J17" s="42" t="str">
        <f t="shared" si="3"/>
        <v/>
      </c>
      <c r="K17" s="56" t="str">
        <f t="shared" si="4"/>
        <v/>
      </c>
    </row>
    <row r="18" spans="1:12" x14ac:dyDescent="0.35">
      <c r="A18" s="87">
        <f t="shared" si="0"/>
        <v>5</v>
      </c>
      <c r="B18" s="87">
        <f t="shared" si="1"/>
        <v>5</v>
      </c>
      <c r="C18" s="82">
        <v>6</v>
      </c>
      <c r="D18" s="36" t="s">
        <v>115</v>
      </c>
      <c r="E18" s="17" t="s">
        <v>96</v>
      </c>
      <c r="F18" s="18" t="s">
        <v>108</v>
      </c>
      <c r="G18" s="22">
        <f>IFERROR(HLOOKUP(C18,'13 -15 Scores'!$B$3:$L$48,46,FALSE),"")</f>
        <v>37.183</v>
      </c>
      <c r="H18" s="18">
        <f t="shared" si="2"/>
        <v>5</v>
      </c>
      <c r="I18" s="22">
        <f>IFERROR(VLOOKUP($D18,'13-18 Solos'!$B$14:$F$22,5,FALSE),"")</f>
        <v>36.142000000000003</v>
      </c>
      <c r="J18" s="22">
        <f t="shared" si="3"/>
        <v>36.662999999999997</v>
      </c>
      <c r="K18" s="53">
        <f t="shared" si="4"/>
        <v>5</v>
      </c>
    </row>
    <row r="19" spans="1:12" x14ac:dyDescent="0.35">
      <c r="A19" s="87">
        <f t="shared" si="0"/>
        <v>7</v>
      </c>
      <c r="B19" s="87">
        <f t="shared" si="1"/>
        <v>8</v>
      </c>
      <c r="C19" s="82">
        <v>2</v>
      </c>
      <c r="D19" s="36" t="s">
        <v>117</v>
      </c>
      <c r="E19" s="17" t="s">
        <v>96</v>
      </c>
      <c r="F19" s="18" t="s">
        <v>108</v>
      </c>
      <c r="G19" s="22">
        <f>IFERROR(HLOOKUP(C19,'13 -15 Scores'!$B$3:$L$48,46,FALSE),"")</f>
        <v>35.451999999999998</v>
      </c>
      <c r="H19" s="18">
        <f t="shared" si="2"/>
        <v>7</v>
      </c>
      <c r="I19" s="22">
        <f>IFERROR(VLOOKUP($D19,'13-18 Solos'!$B$14:$F$22,5,FALSE),"")</f>
        <v>35.457999999999998</v>
      </c>
      <c r="J19" s="22">
        <f t="shared" si="3"/>
        <v>35.454999999999998</v>
      </c>
      <c r="K19" s="53">
        <f t="shared" si="4"/>
        <v>8</v>
      </c>
    </row>
    <row r="20" spans="1:12" x14ac:dyDescent="0.35">
      <c r="A20" s="87">
        <f t="shared" si="0"/>
        <v>9</v>
      </c>
      <c r="B20" s="87">
        <f t="shared" si="1"/>
        <v>7</v>
      </c>
      <c r="C20" s="82">
        <v>7</v>
      </c>
      <c r="D20" s="36" t="s">
        <v>118</v>
      </c>
      <c r="E20" s="17" t="s">
        <v>96</v>
      </c>
      <c r="F20" s="18" t="s">
        <v>108</v>
      </c>
      <c r="G20" s="22">
        <f>IFERROR(HLOOKUP(C20,'13 -15 Scores'!$B$3:$L$48,46,FALSE),"")</f>
        <v>34.697000000000003</v>
      </c>
      <c r="H20" s="18">
        <f t="shared" si="2"/>
        <v>9</v>
      </c>
      <c r="I20" s="22">
        <f>IFERROR(VLOOKUP($D20,'13-18 Solos'!$B$14:$F$22,5,FALSE),"")</f>
        <v>38.067</v>
      </c>
      <c r="J20" s="22">
        <f t="shared" si="3"/>
        <v>36.381999999999998</v>
      </c>
      <c r="K20" s="53">
        <f t="shared" si="4"/>
        <v>7</v>
      </c>
    </row>
    <row r="21" spans="1:12" x14ac:dyDescent="0.35">
      <c r="A21" s="87">
        <f t="shared" si="0"/>
        <v>10</v>
      </c>
      <c r="B21" s="87">
        <f t="shared" si="1"/>
        <v>6</v>
      </c>
      <c r="C21" s="82">
        <v>1</v>
      </c>
      <c r="D21" s="17" t="s">
        <v>119</v>
      </c>
      <c r="E21" s="17" t="s">
        <v>101</v>
      </c>
      <c r="F21" s="18" t="s">
        <v>108</v>
      </c>
      <c r="G21" s="22">
        <f>IFERROR(HLOOKUP(C21,'13 -15 Scores'!$B$3:$L$48,46,FALSE),"")</f>
        <v>34.613</v>
      </c>
      <c r="H21" s="18">
        <f t="shared" si="2"/>
        <v>10</v>
      </c>
      <c r="I21" s="22">
        <f>IFERROR(VLOOKUP($D21,'13-18 Solos'!$B$14:$F$22,5,FALSE),"")</f>
        <v>38.332999999999998</v>
      </c>
      <c r="J21" s="22">
        <f t="shared" si="3"/>
        <v>36.472999999999999</v>
      </c>
      <c r="K21" s="53">
        <f t="shared" si="4"/>
        <v>6</v>
      </c>
    </row>
    <row r="22" spans="1:12" x14ac:dyDescent="0.35">
      <c r="A22" s="87">
        <f t="shared" si="0"/>
        <v>6</v>
      </c>
      <c r="B22" s="87">
        <f t="shared" si="1"/>
        <v>2</v>
      </c>
      <c r="C22" s="82">
        <v>8</v>
      </c>
      <c r="D22" s="103" t="s">
        <v>120</v>
      </c>
      <c r="E22" s="103" t="s">
        <v>101</v>
      </c>
      <c r="F22" s="104" t="s">
        <v>108</v>
      </c>
      <c r="G22" s="105">
        <f>IFERROR(HLOOKUP(C22,'13 -15 Scores'!$B$3:$L$48,46,FALSE),"")</f>
        <v>36.127000000000002</v>
      </c>
      <c r="H22" s="104">
        <f t="shared" si="2"/>
        <v>6</v>
      </c>
      <c r="I22" s="105">
        <f>IFERROR(VLOOKUP($D22,'13-18 Solos'!$B$14:$F$22,5,FALSE),"")</f>
        <v>43.5</v>
      </c>
      <c r="J22" s="105">
        <f t="shared" si="3"/>
        <v>39.814</v>
      </c>
      <c r="K22" s="104">
        <f t="shared" si="4"/>
        <v>2</v>
      </c>
      <c r="L22" s="33"/>
    </row>
    <row r="23" spans="1:12" x14ac:dyDescent="0.35">
      <c r="A23" s="87">
        <f t="shared" si="0"/>
        <v>8</v>
      </c>
      <c r="B23" s="87">
        <f t="shared" si="1"/>
        <v>4</v>
      </c>
      <c r="C23" s="82">
        <v>3</v>
      </c>
      <c r="D23" s="17" t="s">
        <v>121</v>
      </c>
      <c r="E23" s="17" t="s">
        <v>101</v>
      </c>
      <c r="F23" s="18" t="s">
        <v>108</v>
      </c>
      <c r="G23" s="22">
        <f>IFERROR(HLOOKUP(C23,'13 -15 Scores'!$B$3:$L$48,46,FALSE),"")</f>
        <v>35.238</v>
      </c>
      <c r="H23" s="18">
        <f t="shared" si="2"/>
        <v>8</v>
      </c>
      <c r="I23" s="22">
        <f>IFERROR(VLOOKUP($D23,'13-18 Solos'!$B$14:$F$22,5,FALSE),"")</f>
        <v>38.357999999999997</v>
      </c>
      <c r="J23" s="22">
        <f t="shared" si="3"/>
        <v>36.798000000000002</v>
      </c>
      <c r="K23" s="53">
        <f t="shared" si="4"/>
        <v>4</v>
      </c>
    </row>
    <row r="24" spans="1:12" x14ac:dyDescent="0.35">
      <c r="A24">
        <f t="shared" si="0"/>
        <v>0</v>
      </c>
      <c r="B24" t="str">
        <f t="shared" si="1"/>
        <v/>
      </c>
      <c r="C24" s="82">
        <v>10</v>
      </c>
      <c r="D24" s="37" t="s">
        <v>106</v>
      </c>
      <c r="E24" s="37" t="s">
        <v>93</v>
      </c>
      <c r="F24" s="39"/>
      <c r="G24" s="56">
        <f>IFERROR(HLOOKUP(C24,'13 -15 Scores'!$B$3:$L$48,46,FALSE),"")</f>
        <v>39.518999999999998</v>
      </c>
      <c r="H24" s="39"/>
      <c r="I24" s="42" t="str">
        <f>IFERROR(VLOOKUP($D24,#REF!,3,FALSE),"")</f>
        <v/>
      </c>
      <c r="J24" s="42" t="str">
        <f>IFERROR(ROUND(+G24*0.5+I24*0.5,3),"")</f>
        <v/>
      </c>
      <c r="K24" s="39" t="str">
        <f>IF(J24&lt;&gt;"",RANK(J24,$J$14:$J$21,0),"")</f>
        <v/>
      </c>
    </row>
  </sheetData>
  <sheetProtection selectLockedCells="1"/>
  <sortState ref="C15:K25">
    <sortCondition ref="F15:F25"/>
  </sortState>
  <pageMargins left="0.7" right="0.7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26" workbookViewId="0">
      <selection activeCell="K4" sqref="K4"/>
    </sheetView>
  </sheetViews>
  <sheetFormatPr defaultColWidth="9.1796875" defaultRowHeight="14.5" outlineLevelRow="1" x14ac:dyDescent="0.35"/>
  <cols>
    <col min="1" max="1" width="14.7265625" style="2" customWidth="1"/>
    <col min="2" max="11" width="10.7265625" style="2" customWidth="1"/>
    <col min="12" max="12" width="9.453125" style="2" customWidth="1"/>
    <col min="13" max="16384" width="9.1796875" style="2"/>
  </cols>
  <sheetData>
    <row r="1" spans="1:12" ht="21" x14ac:dyDescent="0.5">
      <c r="A1" s="43" t="s">
        <v>162</v>
      </c>
      <c r="B1" s="43" t="s">
        <v>156</v>
      </c>
    </row>
    <row r="3" spans="1:12" outlineLevel="1" x14ac:dyDescent="0.35">
      <c r="A3" s="59" t="str">
        <f>'13 - 15'!D2</f>
        <v>Somersub</v>
      </c>
      <c r="B3" s="84">
        <v>1</v>
      </c>
      <c r="C3" s="59">
        <v>2</v>
      </c>
      <c r="D3" s="59">
        <v>3</v>
      </c>
      <c r="E3" s="59">
        <v>4</v>
      </c>
      <c r="F3" s="59">
        <v>5</v>
      </c>
      <c r="G3" s="59">
        <v>6</v>
      </c>
      <c r="H3" s="59">
        <v>7</v>
      </c>
      <c r="I3" s="59">
        <v>8</v>
      </c>
      <c r="J3" s="59">
        <v>9</v>
      </c>
      <c r="K3" s="59">
        <v>10</v>
      </c>
      <c r="L3" s="59">
        <v>11</v>
      </c>
    </row>
    <row r="4" spans="1:12" outlineLevel="1" x14ac:dyDescent="0.35">
      <c r="A4" s="60" t="s">
        <v>14</v>
      </c>
      <c r="B4" s="82">
        <v>3.5</v>
      </c>
      <c r="C4" s="82">
        <v>3.8</v>
      </c>
      <c r="D4" s="82">
        <v>3.4</v>
      </c>
      <c r="E4" s="82">
        <v>3</v>
      </c>
      <c r="F4" s="82">
        <v>4.3</v>
      </c>
      <c r="G4" s="82">
        <v>3.8</v>
      </c>
      <c r="H4" s="82">
        <v>3.5</v>
      </c>
      <c r="I4" s="82">
        <v>4.0999999999999996</v>
      </c>
      <c r="J4" s="82">
        <v>4.3</v>
      </c>
      <c r="K4" s="82">
        <v>3.7</v>
      </c>
      <c r="L4" s="82">
        <v>4.0999999999999996</v>
      </c>
    </row>
    <row r="5" spans="1:12" outlineLevel="1" x14ac:dyDescent="0.35">
      <c r="A5" s="60" t="s">
        <v>15</v>
      </c>
      <c r="B5" s="82">
        <v>3.6</v>
      </c>
      <c r="C5" s="82">
        <v>3.9</v>
      </c>
      <c r="D5" s="82">
        <v>3.7</v>
      </c>
      <c r="E5" s="82">
        <v>3.7</v>
      </c>
      <c r="F5" s="82">
        <v>4.0999999999999996</v>
      </c>
      <c r="G5" s="82">
        <v>3.4</v>
      </c>
      <c r="H5" s="82">
        <v>3.5</v>
      </c>
      <c r="I5" s="82">
        <v>3.9</v>
      </c>
      <c r="J5" s="82">
        <v>4.2</v>
      </c>
      <c r="K5" s="82">
        <v>4</v>
      </c>
      <c r="L5" s="82">
        <v>4.0999999999999996</v>
      </c>
    </row>
    <row r="6" spans="1:12" outlineLevel="1" x14ac:dyDescent="0.35">
      <c r="A6" s="60" t="s">
        <v>16</v>
      </c>
      <c r="B6" s="82">
        <v>3.5</v>
      </c>
      <c r="C6" s="82">
        <v>3.9</v>
      </c>
      <c r="D6" s="82">
        <v>3.6</v>
      </c>
      <c r="E6" s="82">
        <v>3.8</v>
      </c>
      <c r="F6" s="82">
        <v>4.2</v>
      </c>
      <c r="G6" s="82">
        <v>3.7</v>
      </c>
      <c r="H6" s="82">
        <v>3.3</v>
      </c>
      <c r="I6" s="82">
        <v>4</v>
      </c>
      <c r="J6" s="82">
        <v>4.3</v>
      </c>
      <c r="K6" s="82">
        <v>4</v>
      </c>
      <c r="L6" s="82">
        <v>4.3</v>
      </c>
    </row>
    <row r="7" spans="1:12" outlineLevel="1" x14ac:dyDescent="0.35">
      <c r="A7" s="60" t="s">
        <v>17</v>
      </c>
      <c r="B7" s="82">
        <v>4</v>
      </c>
      <c r="C7" s="82">
        <v>3.4</v>
      </c>
      <c r="D7" s="82">
        <v>3.5</v>
      </c>
      <c r="E7" s="82">
        <v>4.0999999999999996</v>
      </c>
      <c r="F7" s="82">
        <v>3.9</v>
      </c>
      <c r="G7" s="82">
        <v>3.7</v>
      </c>
      <c r="H7" s="82">
        <v>3.5</v>
      </c>
      <c r="I7" s="82">
        <v>4</v>
      </c>
      <c r="J7" s="82">
        <v>4.4000000000000004</v>
      </c>
      <c r="K7" s="82">
        <v>3.4</v>
      </c>
      <c r="L7" s="82">
        <v>4.2</v>
      </c>
    </row>
    <row r="8" spans="1:12" outlineLevel="1" x14ac:dyDescent="0.35">
      <c r="A8" s="60" t="s">
        <v>18</v>
      </c>
      <c r="B8" s="76">
        <f>IFERROR(AVERAGE(B4:B7),"")</f>
        <v>3.65</v>
      </c>
      <c r="C8" s="76">
        <f t="shared" ref="C8:L8" si="0">IFERROR(AVERAGE(C4:C7),"")</f>
        <v>3.75</v>
      </c>
      <c r="D8" s="76">
        <f t="shared" si="0"/>
        <v>3.55</v>
      </c>
      <c r="E8" s="76">
        <f t="shared" si="0"/>
        <v>3.65</v>
      </c>
      <c r="F8" s="76">
        <f t="shared" si="0"/>
        <v>4.1249999999999991</v>
      </c>
      <c r="G8" s="76">
        <f t="shared" si="0"/>
        <v>3.6499999999999995</v>
      </c>
      <c r="H8" s="76">
        <f t="shared" si="0"/>
        <v>3.45</v>
      </c>
      <c r="I8" s="76">
        <f t="shared" si="0"/>
        <v>4</v>
      </c>
      <c r="J8" s="76">
        <f t="shared" si="0"/>
        <v>4.3000000000000007</v>
      </c>
      <c r="K8" s="76">
        <f t="shared" si="0"/>
        <v>3.7749999999999999</v>
      </c>
      <c r="L8" s="76">
        <f t="shared" si="0"/>
        <v>4.1749999999999998</v>
      </c>
    </row>
    <row r="9" spans="1:12" outlineLevel="1" x14ac:dyDescent="0.35">
      <c r="A9" s="59" t="s">
        <v>8</v>
      </c>
      <c r="B9" s="60">
        <f>+MAX(B4:B8)</f>
        <v>4</v>
      </c>
      <c r="C9" s="60">
        <f t="shared" ref="C9:L9" si="1">+MAX(C4:C8)</f>
        <v>3.9</v>
      </c>
      <c r="D9" s="60">
        <f t="shared" si="1"/>
        <v>3.7</v>
      </c>
      <c r="E9" s="60">
        <f t="shared" si="1"/>
        <v>4.0999999999999996</v>
      </c>
      <c r="F9" s="60">
        <f t="shared" si="1"/>
        <v>4.3</v>
      </c>
      <c r="G9" s="60">
        <f t="shared" si="1"/>
        <v>3.8</v>
      </c>
      <c r="H9" s="60">
        <f t="shared" si="1"/>
        <v>3.5</v>
      </c>
      <c r="I9" s="60">
        <f t="shared" si="1"/>
        <v>4.0999999999999996</v>
      </c>
      <c r="J9" s="60">
        <f t="shared" si="1"/>
        <v>4.4000000000000004</v>
      </c>
      <c r="K9" s="60">
        <f t="shared" si="1"/>
        <v>4</v>
      </c>
      <c r="L9" s="60">
        <f t="shared" si="1"/>
        <v>4.3</v>
      </c>
    </row>
    <row r="10" spans="1:12" outlineLevel="1" x14ac:dyDescent="0.35">
      <c r="A10" s="59" t="s">
        <v>9</v>
      </c>
      <c r="B10" s="60">
        <f>+MIN(B4:B8)</f>
        <v>3.5</v>
      </c>
      <c r="C10" s="60">
        <f t="shared" ref="C10:L10" si="2">+MIN(C4:C8)</f>
        <v>3.4</v>
      </c>
      <c r="D10" s="60">
        <f t="shared" si="2"/>
        <v>3.4</v>
      </c>
      <c r="E10" s="60">
        <f t="shared" si="2"/>
        <v>3</v>
      </c>
      <c r="F10" s="60">
        <f t="shared" si="2"/>
        <v>3.9</v>
      </c>
      <c r="G10" s="60">
        <f t="shared" si="2"/>
        <v>3.4</v>
      </c>
      <c r="H10" s="60">
        <f t="shared" si="2"/>
        <v>3.3</v>
      </c>
      <c r="I10" s="60">
        <f t="shared" si="2"/>
        <v>3.9</v>
      </c>
      <c r="J10" s="60">
        <f t="shared" si="2"/>
        <v>4.2</v>
      </c>
      <c r="K10" s="60">
        <f t="shared" si="2"/>
        <v>3.4</v>
      </c>
      <c r="L10" s="60">
        <f t="shared" si="2"/>
        <v>4.0999999999999996</v>
      </c>
    </row>
    <row r="11" spans="1:12" outlineLevel="1" x14ac:dyDescent="0.35">
      <c r="A11" s="59" t="s">
        <v>10</v>
      </c>
      <c r="B11" s="62">
        <f>IFERROR((SUM(B4:B8)-B9-B10)/(COUNT(B4:B8)-2),0)</f>
        <v>3.5833333333333335</v>
      </c>
      <c r="C11" s="62">
        <f t="shared" ref="C11:L11" si="3">IFERROR((SUM(C4:C8)-C9-C10)/(COUNT(C4:C8)-2),0)</f>
        <v>3.8166666666666664</v>
      </c>
      <c r="D11" s="62">
        <f t="shared" si="3"/>
        <v>3.5500000000000003</v>
      </c>
      <c r="E11" s="62">
        <f t="shared" si="3"/>
        <v>3.7166666666666668</v>
      </c>
      <c r="F11" s="62">
        <f t="shared" si="3"/>
        <v>4.1416666666666648</v>
      </c>
      <c r="G11" s="62">
        <f t="shared" si="3"/>
        <v>3.6833333333333318</v>
      </c>
      <c r="H11" s="62">
        <f t="shared" si="3"/>
        <v>3.4833333333333329</v>
      </c>
      <c r="I11" s="62">
        <f t="shared" si="3"/>
        <v>4</v>
      </c>
      <c r="J11" s="62">
        <f t="shared" si="3"/>
        <v>4.3000000000000007</v>
      </c>
      <c r="K11" s="62">
        <f t="shared" si="3"/>
        <v>3.8249999999999997</v>
      </c>
      <c r="L11" s="62">
        <f t="shared" si="3"/>
        <v>4.1583333333333332</v>
      </c>
    </row>
    <row r="12" spans="1:12" outlineLevel="1" x14ac:dyDescent="0.35">
      <c r="A12" s="59" t="s">
        <v>11</v>
      </c>
      <c r="B12" s="63">
        <f>+B11*'13 - 15'!$F$2</f>
        <v>7.166666666666667</v>
      </c>
      <c r="C12" s="63">
        <f>+C11*'13 - 15'!$F$2</f>
        <v>7.6333333333333329</v>
      </c>
      <c r="D12" s="63">
        <f>+D11*'13 - 15'!$F$2</f>
        <v>7.1000000000000005</v>
      </c>
      <c r="E12" s="63">
        <f>+E11*'13 - 15'!$F$2</f>
        <v>7.4333333333333336</v>
      </c>
      <c r="F12" s="63">
        <f>+F11*'13 - 15'!$F$2</f>
        <v>8.2833333333333297</v>
      </c>
      <c r="G12" s="63">
        <f>+G11*'13 - 15'!$F$2</f>
        <v>7.3666666666666636</v>
      </c>
      <c r="H12" s="63">
        <f>+H11*'13 - 15'!$F$2</f>
        <v>6.9666666666666659</v>
      </c>
      <c r="I12" s="63">
        <f>+I11*'13 - 15'!$F$2</f>
        <v>8</v>
      </c>
      <c r="J12" s="63">
        <f>+J11*'13 - 15'!$F$2</f>
        <v>8.6000000000000014</v>
      </c>
      <c r="K12" s="63">
        <f>+K11*'13 - 15'!$F$2</f>
        <v>7.6499999999999995</v>
      </c>
      <c r="L12" s="63">
        <f>+L11*'13 - 15'!$F$2</f>
        <v>8.3166666666666664</v>
      </c>
    </row>
    <row r="14" spans="1:12" outlineLevel="1" x14ac:dyDescent="0.35">
      <c r="A14" s="59" t="str">
        <f>'13 - 15'!D3</f>
        <v>Barracuda</v>
      </c>
      <c r="B14" s="59">
        <v>1</v>
      </c>
      <c r="C14" s="59">
        <v>2</v>
      </c>
      <c r="D14" s="59">
        <v>3</v>
      </c>
      <c r="E14" s="84">
        <v>4</v>
      </c>
      <c r="F14" s="59">
        <v>5</v>
      </c>
      <c r="G14" s="59">
        <v>6</v>
      </c>
      <c r="H14" s="59">
        <v>7</v>
      </c>
      <c r="I14" s="59">
        <v>8</v>
      </c>
      <c r="J14" s="59">
        <v>9</v>
      </c>
      <c r="K14" s="59">
        <v>10</v>
      </c>
      <c r="L14" s="59">
        <v>11</v>
      </c>
    </row>
    <row r="15" spans="1:12" outlineLevel="1" x14ac:dyDescent="0.35">
      <c r="A15" s="60" t="s">
        <v>14</v>
      </c>
      <c r="B15" s="82">
        <v>3.7</v>
      </c>
      <c r="C15" s="82">
        <v>3.5</v>
      </c>
      <c r="D15" s="82">
        <v>3.8</v>
      </c>
      <c r="E15" s="82">
        <v>4</v>
      </c>
      <c r="F15" s="82">
        <v>4.4000000000000004</v>
      </c>
      <c r="G15" s="82">
        <v>3.5</v>
      </c>
      <c r="H15" s="82">
        <v>3.3</v>
      </c>
      <c r="I15" s="82">
        <v>3.6</v>
      </c>
      <c r="J15" s="82">
        <v>4.2</v>
      </c>
      <c r="K15" s="82">
        <v>4</v>
      </c>
      <c r="L15" s="82">
        <v>4.4000000000000004</v>
      </c>
    </row>
    <row r="16" spans="1:12" outlineLevel="1" x14ac:dyDescent="0.35">
      <c r="A16" s="60" t="s">
        <v>15</v>
      </c>
      <c r="B16" s="82">
        <v>3.5</v>
      </c>
      <c r="C16" s="82">
        <v>3.5</v>
      </c>
      <c r="D16" s="82">
        <v>3.7</v>
      </c>
      <c r="E16" s="82">
        <v>4.0999999999999996</v>
      </c>
      <c r="F16" s="82">
        <v>4.2</v>
      </c>
      <c r="G16" s="82">
        <v>3.9</v>
      </c>
      <c r="H16" s="82">
        <v>3.4</v>
      </c>
      <c r="I16" s="82">
        <v>3.2</v>
      </c>
      <c r="J16" s="82">
        <v>4.4000000000000004</v>
      </c>
      <c r="K16" s="82">
        <v>3.6</v>
      </c>
      <c r="L16" s="82">
        <v>4</v>
      </c>
    </row>
    <row r="17" spans="1:12" outlineLevel="1" x14ac:dyDescent="0.35">
      <c r="A17" s="60" t="s">
        <v>16</v>
      </c>
      <c r="B17" s="82">
        <v>3.3</v>
      </c>
      <c r="C17" s="82">
        <v>3.5</v>
      </c>
      <c r="D17" s="82">
        <v>3.8</v>
      </c>
      <c r="E17" s="82">
        <v>5.2</v>
      </c>
      <c r="F17" s="82">
        <v>4.7</v>
      </c>
      <c r="G17" s="82">
        <v>4.3</v>
      </c>
      <c r="H17" s="82">
        <v>3.5</v>
      </c>
      <c r="I17" s="82">
        <v>3.2</v>
      </c>
      <c r="J17" s="82">
        <v>4.0999999999999996</v>
      </c>
      <c r="K17" s="82">
        <v>3.6</v>
      </c>
      <c r="L17" s="82">
        <v>3.7</v>
      </c>
    </row>
    <row r="18" spans="1:12" outlineLevel="1" x14ac:dyDescent="0.35">
      <c r="A18" s="60" t="s">
        <v>17</v>
      </c>
      <c r="B18" s="82">
        <v>3.7</v>
      </c>
      <c r="C18" s="82">
        <v>3.8</v>
      </c>
      <c r="D18" s="82">
        <v>4.5</v>
      </c>
      <c r="E18" s="82">
        <v>4.3</v>
      </c>
      <c r="F18" s="82">
        <v>4.5</v>
      </c>
      <c r="G18" s="82">
        <v>4.4000000000000004</v>
      </c>
      <c r="H18" s="82">
        <v>3.5</v>
      </c>
      <c r="I18" s="82">
        <v>3.4</v>
      </c>
      <c r="J18" s="82">
        <v>4.4000000000000004</v>
      </c>
      <c r="K18" s="82">
        <v>4.0999999999999996</v>
      </c>
      <c r="L18" s="82">
        <v>4.3</v>
      </c>
    </row>
    <row r="19" spans="1:12" outlineLevel="1" x14ac:dyDescent="0.35">
      <c r="A19" s="60" t="s">
        <v>18</v>
      </c>
      <c r="B19" s="76">
        <f>IFERROR(AVERAGE(B15:B18),"")</f>
        <v>3.55</v>
      </c>
      <c r="C19" s="76">
        <f t="shared" ref="C19:L19" si="4">IFERROR(AVERAGE(C15:C18),"")</f>
        <v>3.5750000000000002</v>
      </c>
      <c r="D19" s="76">
        <f t="shared" si="4"/>
        <v>3.95</v>
      </c>
      <c r="E19" s="76">
        <f t="shared" si="4"/>
        <v>4.4000000000000004</v>
      </c>
      <c r="F19" s="76">
        <f t="shared" si="4"/>
        <v>4.45</v>
      </c>
      <c r="G19" s="76">
        <f t="shared" si="4"/>
        <v>4.0250000000000004</v>
      </c>
      <c r="H19" s="76">
        <f t="shared" si="4"/>
        <v>3.4249999999999998</v>
      </c>
      <c r="I19" s="76">
        <f t="shared" si="4"/>
        <v>3.35</v>
      </c>
      <c r="J19" s="76">
        <f t="shared" si="4"/>
        <v>4.2750000000000004</v>
      </c>
      <c r="K19" s="76">
        <f t="shared" si="4"/>
        <v>3.8249999999999997</v>
      </c>
      <c r="L19" s="76">
        <f t="shared" si="4"/>
        <v>4.1000000000000005</v>
      </c>
    </row>
    <row r="20" spans="1:12" outlineLevel="1" x14ac:dyDescent="0.35">
      <c r="A20" s="59" t="s">
        <v>8</v>
      </c>
      <c r="B20" s="60">
        <f>+MAX(B15:B19)</f>
        <v>3.7</v>
      </c>
      <c r="C20" s="60">
        <f t="shared" ref="C20:L20" si="5">+MAX(C15:C19)</f>
        <v>3.8</v>
      </c>
      <c r="D20" s="60">
        <f t="shared" si="5"/>
        <v>4.5</v>
      </c>
      <c r="E20" s="60">
        <f t="shared" si="5"/>
        <v>5.2</v>
      </c>
      <c r="F20" s="60">
        <f t="shared" si="5"/>
        <v>4.7</v>
      </c>
      <c r="G20" s="60">
        <f t="shared" si="5"/>
        <v>4.4000000000000004</v>
      </c>
      <c r="H20" s="60">
        <f t="shared" si="5"/>
        <v>3.5</v>
      </c>
      <c r="I20" s="60">
        <f t="shared" si="5"/>
        <v>3.6</v>
      </c>
      <c r="J20" s="60">
        <f t="shared" si="5"/>
        <v>4.4000000000000004</v>
      </c>
      <c r="K20" s="60">
        <f t="shared" si="5"/>
        <v>4.0999999999999996</v>
      </c>
      <c r="L20" s="60">
        <f t="shared" si="5"/>
        <v>4.4000000000000004</v>
      </c>
    </row>
    <row r="21" spans="1:12" outlineLevel="1" x14ac:dyDescent="0.35">
      <c r="A21" s="59" t="s">
        <v>9</v>
      </c>
      <c r="B21" s="60">
        <f>+MIN(B15:B19)</f>
        <v>3.3</v>
      </c>
      <c r="C21" s="60">
        <f t="shared" ref="C21:L21" si="6">+MIN(C15:C19)</f>
        <v>3.5</v>
      </c>
      <c r="D21" s="60">
        <f t="shared" si="6"/>
        <v>3.7</v>
      </c>
      <c r="E21" s="60">
        <f t="shared" si="6"/>
        <v>4</v>
      </c>
      <c r="F21" s="60">
        <f t="shared" si="6"/>
        <v>4.2</v>
      </c>
      <c r="G21" s="60">
        <f t="shared" si="6"/>
        <v>3.5</v>
      </c>
      <c r="H21" s="60">
        <f t="shared" si="6"/>
        <v>3.3</v>
      </c>
      <c r="I21" s="60">
        <f t="shared" si="6"/>
        <v>3.2</v>
      </c>
      <c r="J21" s="60">
        <f t="shared" si="6"/>
        <v>4.0999999999999996</v>
      </c>
      <c r="K21" s="60">
        <f t="shared" si="6"/>
        <v>3.6</v>
      </c>
      <c r="L21" s="60">
        <f t="shared" si="6"/>
        <v>3.7</v>
      </c>
    </row>
    <row r="22" spans="1:12" outlineLevel="1" x14ac:dyDescent="0.35">
      <c r="A22" s="59" t="s">
        <v>10</v>
      </c>
      <c r="B22" s="62">
        <f>IFERROR((SUM(B15:B19)-B20-B21)/(COUNT(B15:B19)-2),0)</f>
        <v>3.5833333333333335</v>
      </c>
      <c r="C22" s="62">
        <f t="shared" ref="C22:L22" si="7">IFERROR((SUM(C15:C19)-C20-C21)/(COUNT(C15:C19)-2),0)</f>
        <v>3.5249999999999999</v>
      </c>
      <c r="D22" s="62">
        <f t="shared" si="7"/>
        <v>3.85</v>
      </c>
      <c r="E22" s="62">
        <f t="shared" si="7"/>
        <v>4.2666666666666666</v>
      </c>
      <c r="F22" s="62">
        <f t="shared" si="7"/>
        <v>4.45</v>
      </c>
      <c r="G22" s="62">
        <f t="shared" si="7"/>
        <v>4.0750000000000002</v>
      </c>
      <c r="H22" s="62">
        <f t="shared" si="7"/>
        <v>3.4416666666666664</v>
      </c>
      <c r="I22" s="62">
        <f t="shared" si="7"/>
        <v>3.3166666666666664</v>
      </c>
      <c r="J22" s="62">
        <f t="shared" si="7"/>
        <v>4.291666666666667</v>
      </c>
      <c r="K22" s="62">
        <f t="shared" si="7"/>
        <v>3.8083333333333336</v>
      </c>
      <c r="L22" s="62">
        <f t="shared" si="7"/>
        <v>4.1333333333333337</v>
      </c>
    </row>
    <row r="23" spans="1:12" outlineLevel="1" x14ac:dyDescent="0.35">
      <c r="A23" s="59" t="s">
        <v>11</v>
      </c>
      <c r="B23" s="63">
        <f>+B22*'13 - 15'!$F$3</f>
        <v>7.166666666666667</v>
      </c>
      <c r="C23" s="63">
        <f>+C22*'13 - 15'!$F$3</f>
        <v>7.05</v>
      </c>
      <c r="D23" s="63">
        <f>+D22*'13 - 15'!$F$3</f>
        <v>7.7</v>
      </c>
      <c r="E23" s="63">
        <f>+E22*'13 - 15'!$F$3</f>
        <v>8.5333333333333332</v>
      </c>
      <c r="F23" s="63">
        <f>+F22*'13 - 15'!$F$3</f>
        <v>8.9</v>
      </c>
      <c r="G23" s="63">
        <f>+G22*'13 - 15'!$F$3</f>
        <v>8.15</v>
      </c>
      <c r="H23" s="63">
        <f>+H22*'13 - 15'!$F$3</f>
        <v>6.8833333333333329</v>
      </c>
      <c r="I23" s="63">
        <f>+I22*'13 - 15'!$F$3</f>
        <v>6.6333333333333329</v>
      </c>
      <c r="J23" s="63">
        <f>+J22*'13 - 15'!$F$3</f>
        <v>8.5833333333333339</v>
      </c>
      <c r="K23" s="63">
        <f>+K22*'13 - 15'!$F$3</f>
        <v>7.6166666666666671</v>
      </c>
      <c r="L23" s="63">
        <f>+L22*'13 - 15'!$F$3</f>
        <v>8.2666666666666675</v>
      </c>
    </row>
    <row r="25" spans="1:12" outlineLevel="1" x14ac:dyDescent="0.35">
      <c r="A25" s="59" t="str">
        <f>'13 - 15'!D4</f>
        <v>Tower</v>
      </c>
      <c r="B25" s="59">
        <v>1</v>
      </c>
      <c r="C25" s="59">
        <v>2</v>
      </c>
      <c r="D25" s="59">
        <v>3</v>
      </c>
      <c r="E25" s="59">
        <v>4</v>
      </c>
      <c r="F25" s="59">
        <v>5</v>
      </c>
      <c r="G25" s="59">
        <v>6</v>
      </c>
      <c r="H25" s="84">
        <v>7</v>
      </c>
      <c r="I25" s="59">
        <v>8</v>
      </c>
      <c r="J25" s="59">
        <v>9</v>
      </c>
      <c r="K25" s="59">
        <v>10</v>
      </c>
      <c r="L25" s="59">
        <v>11</v>
      </c>
    </row>
    <row r="26" spans="1:12" outlineLevel="1" x14ac:dyDescent="0.35">
      <c r="A26" s="60" t="s">
        <v>14</v>
      </c>
      <c r="B26" s="82">
        <v>3.4</v>
      </c>
      <c r="C26" s="82">
        <v>3</v>
      </c>
      <c r="D26" s="82">
        <v>3</v>
      </c>
      <c r="E26" s="82">
        <v>3.2</v>
      </c>
      <c r="F26" s="82">
        <v>4</v>
      </c>
      <c r="G26" s="82">
        <v>3.7</v>
      </c>
      <c r="H26" s="82">
        <v>3.5</v>
      </c>
      <c r="I26" s="82">
        <v>3.8</v>
      </c>
      <c r="J26" s="82">
        <v>4</v>
      </c>
      <c r="K26" s="82">
        <v>4.4000000000000004</v>
      </c>
      <c r="L26" s="82">
        <v>3.6</v>
      </c>
    </row>
    <row r="27" spans="1:12" outlineLevel="1" x14ac:dyDescent="0.35">
      <c r="A27" s="60" t="s">
        <v>15</v>
      </c>
      <c r="B27" s="82">
        <v>3.1</v>
      </c>
      <c r="C27" s="82">
        <v>3.2</v>
      </c>
      <c r="D27" s="82">
        <v>3.2</v>
      </c>
      <c r="E27" s="82">
        <v>3.4</v>
      </c>
      <c r="F27" s="82">
        <v>3.9</v>
      </c>
      <c r="G27" s="82">
        <v>3.9</v>
      </c>
      <c r="H27" s="82">
        <v>3.3</v>
      </c>
      <c r="I27" s="82">
        <v>3.8</v>
      </c>
      <c r="J27" s="82">
        <v>4</v>
      </c>
      <c r="K27" s="82">
        <v>4.2</v>
      </c>
      <c r="L27" s="82">
        <v>3.7</v>
      </c>
    </row>
    <row r="28" spans="1:12" outlineLevel="1" x14ac:dyDescent="0.35">
      <c r="A28" s="60" t="s">
        <v>16</v>
      </c>
      <c r="B28" s="82">
        <v>3.4</v>
      </c>
      <c r="C28" s="82">
        <v>3.6</v>
      </c>
      <c r="D28" s="82">
        <v>3.2</v>
      </c>
      <c r="E28" s="82">
        <v>3.3</v>
      </c>
      <c r="F28" s="82">
        <v>3.8</v>
      </c>
      <c r="G28" s="82">
        <v>4</v>
      </c>
      <c r="H28" s="82">
        <v>3.3</v>
      </c>
      <c r="I28" s="82">
        <v>3.7</v>
      </c>
      <c r="J28" s="82">
        <v>3.4</v>
      </c>
      <c r="K28" s="82">
        <v>3.9</v>
      </c>
      <c r="L28" s="82">
        <v>3.6</v>
      </c>
    </row>
    <row r="29" spans="1:12" outlineLevel="1" x14ac:dyDescent="0.35">
      <c r="A29" s="60" t="s">
        <v>17</v>
      </c>
      <c r="B29" s="82">
        <v>3.3</v>
      </c>
      <c r="C29" s="82">
        <v>3.4</v>
      </c>
      <c r="D29" s="82">
        <v>3.2</v>
      </c>
      <c r="E29" s="82">
        <v>3.4</v>
      </c>
      <c r="F29" s="82">
        <v>4.2</v>
      </c>
      <c r="G29" s="82">
        <v>3.5</v>
      </c>
      <c r="H29" s="82">
        <v>3.7</v>
      </c>
      <c r="I29" s="82">
        <v>3.6</v>
      </c>
      <c r="J29" s="82">
        <v>3.7</v>
      </c>
      <c r="K29" s="82">
        <v>3.5</v>
      </c>
      <c r="L29" s="82">
        <v>3.6</v>
      </c>
    </row>
    <row r="30" spans="1:12" outlineLevel="1" x14ac:dyDescent="0.35">
      <c r="A30" s="60" t="s">
        <v>18</v>
      </c>
      <c r="B30" s="76">
        <f>IFERROR(AVERAGE(B26:B29),"")</f>
        <v>3.3</v>
      </c>
      <c r="C30" s="76">
        <f t="shared" ref="C30" si="8">IFERROR(AVERAGE(C26:C29),"")</f>
        <v>3.3000000000000003</v>
      </c>
      <c r="D30" s="76">
        <f t="shared" ref="D30" si="9">IFERROR(AVERAGE(D26:D29),"")</f>
        <v>3.1500000000000004</v>
      </c>
      <c r="E30" s="76">
        <f t="shared" ref="E30" si="10">IFERROR(AVERAGE(E26:E29),"")</f>
        <v>3.3249999999999997</v>
      </c>
      <c r="F30" s="76">
        <f t="shared" ref="F30" si="11">IFERROR(AVERAGE(F26:F29),"")</f>
        <v>3.9749999999999996</v>
      </c>
      <c r="G30" s="76">
        <f t="shared" ref="G30" si="12">IFERROR(AVERAGE(G26:G29),"")</f>
        <v>3.7749999999999999</v>
      </c>
      <c r="H30" s="76">
        <f t="shared" ref="H30" si="13">IFERROR(AVERAGE(H26:H29),"")</f>
        <v>3.45</v>
      </c>
      <c r="I30" s="76">
        <f t="shared" ref="I30" si="14">IFERROR(AVERAGE(I26:I29),"")</f>
        <v>3.7250000000000001</v>
      </c>
      <c r="J30" s="76">
        <f t="shared" ref="J30" si="15">IFERROR(AVERAGE(J26:J29),"")</f>
        <v>3.7750000000000004</v>
      </c>
      <c r="K30" s="76">
        <f t="shared" ref="K30" si="16">IFERROR(AVERAGE(K26:K29),"")</f>
        <v>4</v>
      </c>
      <c r="L30" s="76">
        <f t="shared" ref="L30" si="17">IFERROR(AVERAGE(L26:L29),"")</f>
        <v>3.625</v>
      </c>
    </row>
    <row r="31" spans="1:12" outlineLevel="1" x14ac:dyDescent="0.35">
      <c r="A31" s="59" t="s">
        <v>8</v>
      </c>
      <c r="B31" s="60">
        <f>+MAX(B26:B30)</f>
        <v>3.4</v>
      </c>
      <c r="C31" s="60">
        <f t="shared" ref="C31:L31" si="18">+MAX(C26:C30)</f>
        <v>3.6</v>
      </c>
      <c r="D31" s="60">
        <f t="shared" si="18"/>
        <v>3.2</v>
      </c>
      <c r="E31" s="60">
        <f t="shared" si="18"/>
        <v>3.4</v>
      </c>
      <c r="F31" s="60">
        <f t="shared" si="18"/>
        <v>4.2</v>
      </c>
      <c r="G31" s="60">
        <f t="shared" si="18"/>
        <v>4</v>
      </c>
      <c r="H31" s="60">
        <f t="shared" si="18"/>
        <v>3.7</v>
      </c>
      <c r="I31" s="60">
        <f t="shared" si="18"/>
        <v>3.8</v>
      </c>
      <c r="J31" s="60">
        <f t="shared" si="18"/>
        <v>4</v>
      </c>
      <c r="K31" s="60">
        <f t="shared" si="18"/>
        <v>4.4000000000000004</v>
      </c>
      <c r="L31" s="60">
        <f t="shared" si="18"/>
        <v>3.7</v>
      </c>
    </row>
    <row r="32" spans="1:12" outlineLevel="1" x14ac:dyDescent="0.35">
      <c r="A32" s="59" t="s">
        <v>9</v>
      </c>
      <c r="B32" s="60">
        <f>+MIN(B26:B30)</f>
        <v>3.1</v>
      </c>
      <c r="C32" s="60">
        <f t="shared" ref="C32:L32" si="19">+MIN(C26:C30)</f>
        <v>3</v>
      </c>
      <c r="D32" s="60">
        <f t="shared" si="19"/>
        <v>3</v>
      </c>
      <c r="E32" s="60">
        <f t="shared" si="19"/>
        <v>3.2</v>
      </c>
      <c r="F32" s="60">
        <f t="shared" si="19"/>
        <v>3.8</v>
      </c>
      <c r="G32" s="60">
        <f t="shared" si="19"/>
        <v>3.5</v>
      </c>
      <c r="H32" s="60">
        <f t="shared" si="19"/>
        <v>3.3</v>
      </c>
      <c r="I32" s="60">
        <f t="shared" si="19"/>
        <v>3.6</v>
      </c>
      <c r="J32" s="60">
        <f t="shared" si="19"/>
        <v>3.4</v>
      </c>
      <c r="K32" s="60">
        <f t="shared" si="19"/>
        <v>3.5</v>
      </c>
      <c r="L32" s="60">
        <f t="shared" si="19"/>
        <v>3.6</v>
      </c>
    </row>
    <row r="33" spans="1:12" outlineLevel="1" x14ac:dyDescent="0.35">
      <c r="A33" s="59" t="s">
        <v>10</v>
      </c>
      <c r="B33" s="62">
        <f>IFERROR((SUM(B26:B30)-B31-B32)/(COUNT(B26:B30)-2),0)</f>
        <v>3.3333333333333335</v>
      </c>
      <c r="C33" s="62">
        <f t="shared" ref="C33:L33" si="20">IFERROR((SUM(C26:C30)-C31-C32)/(COUNT(C26:C30)-2),0)</f>
        <v>3.3000000000000003</v>
      </c>
      <c r="D33" s="62">
        <f t="shared" si="20"/>
        <v>3.1833333333333336</v>
      </c>
      <c r="E33" s="62">
        <f t="shared" si="20"/>
        <v>3.3416666666666663</v>
      </c>
      <c r="F33" s="62">
        <f t="shared" si="20"/>
        <v>3.9583333333333335</v>
      </c>
      <c r="G33" s="62">
        <f t="shared" si="20"/>
        <v>3.7916666666666665</v>
      </c>
      <c r="H33" s="62">
        <f t="shared" si="20"/>
        <v>3.4166666666666665</v>
      </c>
      <c r="I33" s="62">
        <f t="shared" si="20"/>
        <v>3.7416666666666667</v>
      </c>
      <c r="J33" s="62">
        <f t="shared" si="20"/>
        <v>3.8249999999999997</v>
      </c>
      <c r="K33" s="62">
        <f t="shared" si="20"/>
        <v>4.0333333333333332</v>
      </c>
      <c r="L33" s="62">
        <f t="shared" si="20"/>
        <v>3.6083333333333338</v>
      </c>
    </row>
    <row r="34" spans="1:12" outlineLevel="1" x14ac:dyDescent="0.35">
      <c r="A34" s="59" t="s">
        <v>11</v>
      </c>
      <c r="B34" s="62">
        <f>+B33*'13 - 15'!$F$4</f>
        <v>6.333333333333333</v>
      </c>
      <c r="C34" s="62">
        <f>+C33*'13 - 15'!$F$4</f>
        <v>6.2700000000000005</v>
      </c>
      <c r="D34" s="62">
        <f>+D33*'13 - 15'!$F$4</f>
        <v>6.0483333333333338</v>
      </c>
      <c r="E34" s="62">
        <f>+E33*'13 - 15'!$F$4</f>
        <v>6.3491666666666662</v>
      </c>
      <c r="F34" s="62">
        <f>+F33*'13 - 15'!$F$4</f>
        <v>7.520833333333333</v>
      </c>
      <c r="G34" s="62">
        <f>+G33*'13 - 15'!$F$4</f>
        <v>7.2041666666666657</v>
      </c>
      <c r="H34" s="62">
        <f>+H33*'13 - 15'!$F$4</f>
        <v>6.4916666666666663</v>
      </c>
      <c r="I34" s="62">
        <f>+I33*'13 - 15'!$F$4</f>
        <v>7.109166666666666</v>
      </c>
      <c r="J34" s="62">
        <f>+J33*'13 - 15'!$F$4</f>
        <v>7.2674999999999992</v>
      </c>
      <c r="K34" s="62">
        <f>+K33*'13 - 15'!$F$4</f>
        <v>7.6633333333333331</v>
      </c>
      <c r="L34" s="62">
        <f>+L33*'13 - 15'!$F$4</f>
        <v>6.8558333333333339</v>
      </c>
    </row>
    <row r="36" spans="1:12" outlineLevel="1" x14ac:dyDescent="0.35">
      <c r="A36" s="59" t="str">
        <f>'13 - 15'!D5</f>
        <v>Kip</v>
      </c>
      <c r="B36" s="59">
        <v>1</v>
      </c>
      <c r="C36" s="59">
        <v>2</v>
      </c>
      <c r="D36" s="59">
        <v>3</v>
      </c>
      <c r="E36" s="59">
        <v>4</v>
      </c>
      <c r="F36" s="59">
        <v>5</v>
      </c>
      <c r="G36" s="59">
        <v>6</v>
      </c>
      <c r="H36" s="59">
        <v>7</v>
      </c>
      <c r="I36" s="59">
        <v>8</v>
      </c>
      <c r="J36" s="59">
        <v>9</v>
      </c>
      <c r="K36" s="84">
        <v>10</v>
      </c>
      <c r="L36" s="59">
        <v>11</v>
      </c>
    </row>
    <row r="37" spans="1:12" outlineLevel="1" x14ac:dyDescent="0.35">
      <c r="A37" s="60" t="s">
        <v>14</v>
      </c>
      <c r="B37" s="82">
        <v>3.7</v>
      </c>
      <c r="C37" s="82">
        <v>3.5</v>
      </c>
      <c r="D37" s="82">
        <v>3.5</v>
      </c>
      <c r="E37" s="82">
        <v>3.6</v>
      </c>
      <c r="F37" s="82">
        <v>4.5999999999999996</v>
      </c>
      <c r="G37" s="82">
        <v>3.3</v>
      </c>
      <c r="H37" s="82">
        <v>3.5</v>
      </c>
      <c r="I37" s="82">
        <v>3.3</v>
      </c>
      <c r="J37" s="82">
        <v>4.3</v>
      </c>
      <c r="K37" s="82">
        <v>4.4000000000000004</v>
      </c>
      <c r="L37" s="82">
        <v>4</v>
      </c>
    </row>
    <row r="38" spans="1:12" outlineLevel="1" x14ac:dyDescent="0.35">
      <c r="A38" s="60" t="s">
        <v>15</v>
      </c>
      <c r="B38" s="82">
        <v>3.3</v>
      </c>
      <c r="C38" s="82">
        <v>3.8</v>
      </c>
      <c r="D38" s="82">
        <v>3.5</v>
      </c>
      <c r="E38" s="82">
        <v>3.8</v>
      </c>
      <c r="F38" s="82">
        <v>4.5</v>
      </c>
      <c r="G38" s="82">
        <v>3.4</v>
      </c>
      <c r="H38" s="82">
        <v>3.6</v>
      </c>
      <c r="I38" s="82">
        <v>3</v>
      </c>
      <c r="J38" s="82">
        <v>4</v>
      </c>
      <c r="K38" s="82">
        <v>4</v>
      </c>
      <c r="L38" s="82">
        <v>4.0999999999999996</v>
      </c>
    </row>
    <row r="39" spans="1:12" outlineLevel="1" x14ac:dyDescent="0.35">
      <c r="A39" s="60" t="s">
        <v>16</v>
      </c>
      <c r="B39" s="82">
        <v>3.3</v>
      </c>
      <c r="C39" s="82">
        <v>3</v>
      </c>
      <c r="D39" s="82">
        <v>3.2</v>
      </c>
      <c r="E39" s="82">
        <v>3.5</v>
      </c>
      <c r="F39" s="82">
        <v>4.3</v>
      </c>
      <c r="G39" s="82">
        <v>3</v>
      </c>
      <c r="H39" s="82">
        <v>3.4</v>
      </c>
      <c r="I39" s="82">
        <v>3.5</v>
      </c>
      <c r="J39" s="82">
        <v>3.6</v>
      </c>
      <c r="K39" s="82">
        <v>3.6</v>
      </c>
      <c r="L39" s="82">
        <v>4.2</v>
      </c>
    </row>
    <row r="40" spans="1:12" outlineLevel="1" x14ac:dyDescent="0.35">
      <c r="A40" s="60" t="s">
        <v>17</v>
      </c>
      <c r="B40" s="82">
        <v>3.2</v>
      </c>
      <c r="C40" s="82">
        <v>3.6</v>
      </c>
      <c r="D40" s="82">
        <v>3.7</v>
      </c>
      <c r="E40" s="82">
        <v>4.3</v>
      </c>
      <c r="F40" s="82">
        <v>5.5</v>
      </c>
      <c r="G40" s="82">
        <v>3.3</v>
      </c>
      <c r="H40" s="82">
        <v>3.6</v>
      </c>
      <c r="I40" s="82">
        <v>3.5</v>
      </c>
      <c r="J40" s="82">
        <v>4.4000000000000004</v>
      </c>
      <c r="K40" s="82">
        <v>4.4000000000000004</v>
      </c>
      <c r="L40" s="82">
        <v>3.5</v>
      </c>
    </row>
    <row r="41" spans="1:12" outlineLevel="1" x14ac:dyDescent="0.35">
      <c r="A41" s="60" t="s">
        <v>18</v>
      </c>
      <c r="B41" s="76">
        <f>IFERROR(AVERAGE(B37:B40),"")</f>
        <v>3.375</v>
      </c>
      <c r="C41" s="76">
        <f t="shared" ref="C41" si="21">IFERROR(AVERAGE(C37:C40),"")</f>
        <v>3.4750000000000001</v>
      </c>
      <c r="D41" s="76">
        <f t="shared" ref="D41" si="22">IFERROR(AVERAGE(D37:D40),"")</f>
        <v>3.4749999999999996</v>
      </c>
      <c r="E41" s="76">
        <f t="shared" ref="E41" si="23">IFERROR(AVERAGE(E37:E40),"")</f>
        <v>3.8</v>
      </c>
      <c r="F41" s="76">
        <f t="shared" ref="F41" si="24">IFERROR(AVERAGE(F37:F40),"")</f>
        <v>4.7249999999999996</v>
      </c>
      <c r="G41" s="76">
        <f t="shared" ref="G41" si="25">IFERROR(AVERAGE(G37:G40),"")</f>
        <v>3.25</v>
      </c>
      <c r="H41" s="76">
        <f t="shared" ref="H41" si="26">IFERROR(AVERAGE(H37:H40),"")</f>
        <v>3.5249999999999999</v>
      </c>
      <c r="I41" s="76">
        <f t="shared" ref="I41" si="27">IFERROR(AVERAGE(I37:I40),"")</f>
        <v>3.3250000000000002</v>
      </c>
      <c r="J41" s="76">
        <f t="shared" ref="J41" si="28">IFERROR(AVERAGE(J37:J40),"")</f>
        <v>4.0750000000000002</v>
      </c>
      <c r="K41" s="76">
        <f t="shared" ref="K41" si="29">IFERROR(AVERAGE(K37:K40),"")</f>
        <v>4.0999999999999996</v>
      </c>
      <c r="L41" s="76">
        <f t="shared" ref="L41" si="30">IFERROR(AVERAGE(L37:L40),"")</f>
        <v>3.95</v>
      </c>
    </row>
    <row r="42" spans="1:12" outlineLevel="1" x14ac:dyDescent="0.35">
      <c r="A42" s="59" t="s">
        <v>8</v>
      </c>
      <c r="B42" s="60">
        <f>+MAX(B37:B41)</f>
        <v>3.7</v>
      </c>
      <c r="C42" s="60">
        <f t="shared" ref="C42:L42" si="31">+MAX(C37:C41)</f>
        <v>3.8</v>
      </c>
      <c r="D42" s="60">
        <f t="shared" si="31"/>
        <v>3.7</v>
      </c>
      <c r="E42" s="60">
        <f t="shared" si="31"/>
        <v>4.3</v>
      </c>
      <c r="F42" s="60">
        <f t="shared" si="31"/>
        <v>5.5</v>
      </c>
      <c r="G42" s="60">
        <f t="shared" si="31"/>
        <v>3.4</v>
      </c>
      <c r="H42" s="60">
        <f t="shared" si="31"/>
        <v>3.6</v>
      </c>
      <c r="I42" s="60">
        <f t="shared" si="31"/>
        <v>3.5</v>
      </c>
      <c r="J42" s="60">
        <f t="shared" si="31"/>
        <v>4.4000000000000004</v>
      </c>
      <c r="K42" s="60">
        <f t="shared" si="31"/>
        <v>4.4000000000000004</v>
      </c>
      <c r="L42" s="60">
        <f t="shared" si="31"/>
        <v>4.2</v>
      </c>
    </row>
    <row r="43" spans="1:12" outlineLevel="1" x14ac:dyDescent="0.35">
      <c r="A43" s="59" t="s">
        <v>9</v>
      </c>
      <c r="B43" s="60">
        <f>+MIN(B37:B41)</f>
        <v>3.2</v>
      </c>
      <c r="C43" s="60">
        <f t="shared" ref="C43:L43" si="32">+MIN(C37:C41)</f>
        <v>3</v>
      </c>
      <c r="D43" s="60">
        <f t="shared" si="32"/>
        <v>3.2</v>
      </c>
      <c r="E43" s="60">
        <f t="shared" si="32"/>
        <v>3.5</v>
      </c>
      <c r="F43" s="60">
        <f t="shared" si="32"/>
        <v>4.3</v>
      </c>
      <c r="G43" s="60">
        <f t="shared" si="32"/>
        <v>3</v>
      </c>
      <c r="H43" s="60">
        <f t="shared" si="32"/>
        <v>3.4</v>
      </c>
      <c r="I43" s="60">
        <f t="shared" si="32"/>
        <v>3</v>
      </c>
      <c r="J43" s="60">
        <f t="shared" si="32"/>
        <v>3.6</v>
      </c>
      <c r="K43" s="60">
        <f t="shared" si="32"/>
        <v>3.6</v>
      </c>
      <c r="L43" s="60">
        <f t="shared" si="32"/>
        <v>3.5</v>
      </c>
    </row>
    <row r="44" spans="1:12" outlineLevel="1" x14ac:dyDescent="0.35">
      <c r="A44" s="59" t="s">
        <v>10</v>
      </c>
      <c r="B44" s="62">
        <f>IFERROR((SUM(B37:B41)-B42-B43)/(COUNT(B37:B41)-2),0)</f>
        <v>3.3250000000000006</v>
      </c>
      <c r="C44" s="62">
        <f t="shared" ref="C44:L44" si="33">IFERROR((SUM(C37:C41)-C42-C43)/(COUNT(C37:C41)-2),0)</f>
        <v>3.5249999999999999</v>
      </c>
      <c r="D44" s="62">
        <f t="shared" si="33"/>
        <v>3.4916666666666671</v>
      </c>
      <c r="E44" s="62">
        <f t="shared" si="33"/>
        <v>3.7333333333333329</v>
      </c>
      <c r="F44" s="62">
        <f t="shared" si="33"/>
        <v>4.6083333333333334</v>
      </c>
      <c r="G44" s="62">
        <f t="shared" si="33"/>
        <v>3.2833333333333332</v>
      </c>
      <c r="H44" s="62">
        <f t="shared" si="33"/>
        <v>3.5416666666666665</v>
      </c>
      <c r="I44" s="62">
        <f t="shared" si="33"/>
        <v>3.375</v>
      </c>
      <c r="J44" s="62">
        <f t="shared" si="33"/>
        <v>4.125</v>
      </c>
      <c r="K44" s="62">
        <f t="shared" si="33"/>
        <v>4.166666666666667</v>
      </c>
      <c r="L44" s="62">
        <f t="shared" si="33"/>
        <v>4.0166666666666666</v>
      </c>
    </row>
    <row r="45" spans="1:12" outlineLevel="1" x14ac:dyDescent="0.35">
      <c r="A45" s="59" t="s">
        <v>11</v>
      </c>
      <c r="B45" s="62">
        <f>+B44*'13 - 15'!$F$5</f>
        <v>5.9850000000000012</v>
      </c>
      <c r="C45" s="62">
        <f>+C44*'13 - 15'!$F$5</f>
        <v>6.3449999999999998</v>
      </c>
      <c r="D45" s="62">
        <f>+D44*'13 - 15'!$F$5</f>
        <v>6.285000000000001</v>
      </c>
      <c r="E45" s="62">
        <f>+E44*'13 - 15'!$F$5</f>
        <v>6.72</v>
      </c>
      <c r="F45" s="62">
        <f>+F44*'13 - 15'!$F$5</f>
        <v>8.2949999999999999</v>
      </c>
      <c r="G45" s="62">
        <f>+G44*'13 - 15'!$F$5</f>
        <v>5.91</v>
      </c>
      <c r="H45" s="62">
        <f>+H44*'13 - 15'!$F$5</f>
        <v>6.375</v>
      </c>
      <c r="I45" s="62">
        <f>+I44*'13 - 15'!$F$5</f>
        <v>6.0750000000000002</v>
      </c>
      <c r="J45" s="62">
        <f>+J44*'13 - 15'!$F$5</f>
        <v>7.4249999999999998</v>
      </c>
      <c r="K45" s="62">
        <f>+K44*'13 - 15'!$F$5</f>
        <v>7.5000000000000009</v>
      </c>
      <c r="L45" s="62">
        <f>+L44*'13 - 15'!$F$5</f>
        <v>7.23</v>
      </c>
    </row>
    <row r="46" spans="1:12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35">
      <c r="A47" s="59" t="s">
        <v>60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x14ac:dyDescent="0.35">
      <c r="A48" s="59" t="s">
        <v>13</v>
      </c>
      <c r="B48" s="77">
        <f>+ROUND(((+B12+B23+B34+B45)/'13 - 15'!$F$6*10)-B47,3)</f>
        <v>34.613</v>
      </c>
      <c r="C48" s="77">
        <f>+ROUND(((+C12+C23+C34+C45)/'13 - 15'!$F$6*10)-C47,3)</f>
        <v>35.451999999999998</v>
      </c>
      <c r="D48" s="77">
        <f>+ROUND(((+D12+D23+D34+D45)/'13 - 15'!$F$6*10)-D47,3)</f>
        <v>35.238</v>
      </c>
      <c r="E48" s="77">
        <f>+ROUND(((+E12+E23+E34+E45)/'13 - 15'!$F$6*10)-E47,3)</f>
        <v>37.709000000000003</v>
      </c>
      <c r="F48" s="77">
        <f>+ROUND(((+F12+F23+F34+F45)/'13 - 15'!$F$6*10)-F47,3)</f>
        <v>42.856000000000002</v>
      </c>
      <c r="G48" s="77">
        <f>+ROUND(((+G12+G23+G34+G45)/'13 - 15'!$F$6*10)-G47,3)</f>
        <v>37.183</v>
      </c>
      <c r="H48" s="77">
        <f>+ROUND(((+H12+H23+H34+H45)/'13 - 15'!$F$6*10)-H47,3)</f>
        <v>34.697000000000003</v>
      </c>
      <c r="I48" s="77">
        <f>+ROUND(((+I12+I23+I34+I45)/'13 - 15'!$F$6*10)-I47,3)</f>
        <v>36.127000000000002</v>
      </c>
      <c r="J48" s="77">
        <f>+ROUND(((+J12+J23+J34+J45)/'13 - 15'!$F$6*10)-J47,3)</f>
        <v>41.396999999999998</v>
      </c>
      <c r="K48" s="77">
        <f>+ROUND(((+K12+K23+K34+K45)/'13 - 15'!$F$6*10)-K47,3)</f>
        <v>39.518999999999998</v>
      </c>
      <c r="L48" s="77">
        <f>+ROUND(((+L12+L23+L34+L45)/'13 - 15'!$F$6*10)-L47,3)</f>
        <v>39.83</v>
      </c>
    </row>
  </sheetData>
  <sheetProtection password="D8D7" sheet="1" objects="1" scenarios="1" selectLockedCells="1"/>
  <pageMargins left="0.7" right="0.7" top="0.75" bottom="0.75" header="0.3" footer="0.3"/>
  <pageSetup paperSize="9" fitToHeight="0" orientation="landscape" horizontalDpi="4294967293" verticalDpi="4294967293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20kchjF+LthdGDY6NQeErPLdH6o=</DigestValue>
    </Reference>
    <Reference URI="#idOfficeObject" Type="http://www.w3.org/2000/09/xmldsig#Object">
      <DigestMethod Algorithm="http://www.w3.org/2000/09/xmldsig#sha1"/>
      <DigestValue>wGT0aX9onatdkvSgxd+C6iA4YbQ=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avsWUEMqH6+Ft8JHk8XOe6wXvIk=</DigestValue>
    </Reference>
  </SignedInfo>
  <SignatureValue>j+tfsUS8Ylsjx9PZ/XjDCIzkYLuhg6XH6WYgmwqtAQ8ZN3S/gDmrfGr+V9+RYEnlXTQcIbDHb3RJ
V2sjbvcXoqDatHz1xRytSDiQuFTlY80rWV24b++oRBhGFL1NU4yxdRWwEjEb+N5ynLbBzJdvs3lN
FeRrY+xpuLrXIUEx26Y=</SignatureValue>
  <KeyInfo>
    <X509Data>
      <X509Certificate>MIICWjCCAcOgAwIBAgIQRQvK3oBdF79O3A1+iDDIlTANBgkqhkiG9w0BAQUFADBjMRYwFAYDVQQD
Ew1NYXJpb24gSHVnaGVzMSQwIgYJKoZIhvcNAQkBFhVjZ2Fzd2ltbWluZ0BnbWFpbC5jb20xDDAK
BgNVBAoTA0NHQTEVMBMGA1UEBxMMSm9oYW5uZXNidXJnMB4XDTE2MDMyNDEyNTAyN1oXDTE3MDMy
NDE4NTAyN1owYzEWMBQGA1UEAxMNTWFyaW9uIEh1Z2hlczEkMCIGCSqGSIb3DQEJARYVY2dhc3dp
bW1pbmdAZ21haWwuY29tMQwwCgYDVQQKEwNDR0ExFTATBgNVBAcTDEpvaGFubmVzYnVyZzCBnzAN
BgkqhkiG9w0BAQEFAAOBjQAwgYkCgYEAnPKR0UVt04gwW6SdEaLw+ThvFzJ3C10wQFMcfWZxcP3o
wF47tl5QG/inB3AYQG9nLzH4t6ACvpNJGUjDpfrDXaegUG+XZ4RbKQ2HRnQyRiZs3VokuEtaeQDv
qfGx/9DKVdb8CP68Q0B8DMitCX9DA4QJ9LwJDPN8L6G//pAkJUsCAwEAAaMPMA0wCwYDVR0PBAQD
AgbAMA0GCSqGSIb3DQEBBQUAA4GBAGoTIFlsgNdPNlP1U9oQrWT3miKSuZYQvQWeVMrE3qIPQ96U
uAVZ8tuWyEzHU/0LEspNhVVj5zy57ynj+2LDFlPVv+EmFL4aHQV1PeAQGmMU4KbCmIGAqbO6Xw1L
K9HHdGpgttsGYKIPKH6uhxEm8HKvwtQIDoH78nMqotWnKiKn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LJ0dQsnSYuc175+T0hFg0s1WG48=</DigestValue>
      </Reference>
      <Reference URI="/xl/worksheets/sheet5.xml?ContentType=application/vnd.openxmlformats-officedocument.spreadsheetml.worksheet+xml">
        <DigestMethod Algorithm="http://www.w3.org/2000/09/xmldsig#sha1"/>
        <DigestValue>wUB4eKqBEwfgbk2YvyvG9wUU+hI=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lyMYJ3Y9DNGdIET3kVHcnmGzWAo=</DigestValue>
      </Reference>
      <Reference URI="/xl/worksheets/sheet12.xml?ContentType=application/vnd.openxmlformats-officedocument.spreadsheetml.worksheet+xml">
        <DigestMethod Algorithm="http://www.w3.org/2000/09/xmldsig#sha1"/>
        <DigestValue>ezzY6jJ2lWEQsBhXbg+1jeXL+G4=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UzW+Trpvnu0ANt4SwMlS+wsKH3k=</DigestValue>
      </Reference>
      <Reference URI="/xl/worksheets/sheet13.xml?ContentType=application/vnd.openxmlformats-officedocument.spreadsheetml.worksheet+xml">
        <DigestMethod Algorithm="http://www.w3.org/2000/09/xmldsig#sha1"/>
        <DigestValue>b6onLmydm2Dt+bk0oIop9aZZ7aU=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LJ0dQsnSYuc175+T0hFg0s1WG48=</DigestValue>
      </Reference>
      <Reference URI="/xl/worksheets/sheet14.xml?ContentType=application/vnd.openxmlformats-officedocument.spreadsheetml.worksheet+xml">
        <DigestMethod Algorithm="http://www.w3.org/2000/09/xmldsig#sha1"/>
        <DigestValue>xCr2vWIfiQW3DI7tYvFJIDsVZxI=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UzW+Trpvnu0ANt4SwMlS+wsKH3k=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UzW+Trpvnu0ANt4SwMlS+wsKH3k=</DigestValue>
      </Reference>
      <Reference URI="/xl/worksheets/sheet6.xml?ContentType=application/vnd.openxmlformats-officedocument.spreadsheetml.worksheet+xml">
        <DigestMethod Algorithm="http://www.w3.org/2000/09/xmldsig#sha1"/>
        <DigestValue>Ak37DV+KseeZdQZa4T+1puYVYiE=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UzW+Trpvnu0ANt4SwMlS+wsKH3k=</DigestValue>
      </Reference>
      <Reference URI="/xl/worksheets/sheet11.xml?ContentType=application/vnd.openxmlformats-officedocument.spreadsheetml.worksheet+xml">
        <DigestMethod Algorithm="http://www.w3.org/2000/09/xmldsig#sha1"/>
        <DigestValue>Z57tV6fxCeCi2jivymdvFiOnM9o=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Q7TPKIEJ/UEOvokw76F0JpXOfMk=</DigestValue>
      </Reference>
      <Reference URI="/xl/worksheets/sheet10.xml?ContentType=application/vnd.openxmlformats-officedocument.spreadsheetml.worksheet+xml">
        <DigestMethod Algorithm="http://www.w3.org/2000/09/xmldsig#sha1"/>
        <DigestValue>6fM27fQARzWjwx0Qj9IovuvZh20=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UzW+Trpvnu0ANt4SwMlS+wsKH3k=</DigestValue>
      </Reference>
      <Reference URI="/xl/worksheets/sheet9.xml?ContentType=application/vnd.openxmlformats-officedocument.spreadsheetml.worksheet+xml">
        <DigestMethod Algorithm="http://www.w3.org/2000/09/xmldsig#sha1"/>
        <DigestValue>KtCFh8okHDs2OnmAzUrTuy6IQac=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lF87Ityi2LcAswlxU1D6ffEFdcM=</DigestValue>
      </Reference>
      <Reference URI="/xl/worksheets/sheet8.xml?ContentType=application/vnd.openxmlformats-officedocument.spreadsheetml.worksheet+xml">
        <DigestMethod Algorithm="http://www.w3.org/2000/09/xmldsig#sha1"/>
        <DigestValue>IsiV8MJ9JRsoazmZckS7pCpPU4Y=</DigestValue>
      </Reference>
      <Reference URI="/xl/worksheets/sheet7.xml?ContentType=application/vnd.openxmlformats-officedocument.spreadsheetml.worksheet+xml">
        <DigestMethod Algorithm="http://www.w3.org/2000/09/xmldsig#sha1"/>
        <DigestValue>KGLJSQcruBKi0iEPCnOttDwGQLA=</DigestValue>
      </Reference>
      <Reference URI="/xl/sharedStrings.xml?ContentType=application/vnd.openxmlformats-officedocument.spreadsheetml.sharedStrings+xml">
        <DigestMethod Algorithm="http://www.w3.org/2000/09/xmldsig#sha1"/>
        <DigestValue>ZLPi4TBS9d7arc5NwbRXGeFrM90=</DigestValue>
      </Reference>
      <Reference URI="/xl/worksheets/sheet20.xml?ContentType=application/vnd.openxmlformats-officedocument.spreadsheetml.worksheet+xml">
        <DigestMethod Algorithm="http://www.w3.org/2000/09/xmldsig#sha1"/>
        <DigestValue>d0SVUR6gbEJM49hnGn9CHiPlOxk=</DigestValue>
      </Reference>
      <Reference URI="/xl/worksheets/sheet19.xml?ContentType=application/vnd.openxmlformats-officedocument.spreadsheetml.worksheet+xml">
        <DigestMethod Algorithm="http://www.w3.org/2000/09/xmldsig#sha1"/>
        <DigestValue>UMXJ2wEJpHWnoJz91kR6y3yPLjA=</DigestValue>
      </Reference>
      <Reference URI="/xl/printerSettings/printerSettings19.bin?ContentType=application/vnd.openxmlformats-officedocument.spreadsheetml.printerSettings">
        <DigestMethod Algorithm="http://www.w3.org/2000/09/xmldsig#sha1"/>
        <DigestValue>r+SVMyvx63QtJ7neiVNaD8RbgVY=</DigestValue>
      </Reference>
      <Reference URI="/xl/worksheets/sheet3.xml?ContentType=application/vnd.openxmlformats-officedocument.spreadsheetml.worksheet+xml">
        <DigestMethod Algorithm="http://www.w3.org/2000/09/xmldsig#sha1"/>
        <DigestValue>SVLfXykE60hJeagItInznyB3r5M=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tEiWteguEsL0P7GU434P69Zd5NE=</DigestValue>
      </Reference>
      <Reference URI="/xl/worksheets/sheet2.xml?ContentType=application/vnd.openxmlformats-officedocument.spreadsheetml.worksheet+xml">
        <DigestMethod Algorithm="http://www.w3.org/2000/09/xmldsig#sha1"/>
        <DigestValue>XzKI+T6FUPmCTGZyG/gc/lgAgTY=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UzW+Trpvnu0ANt4SwMlS+wsKH3k=</DigestValue>
      </Reference>
      <Reference URI="/xl/worksheets/sheet4.xml?ContentType=application/vnd.openxmlformats-officedocument.spreadsheetml.worksheet+xml">
        <DigestMethod Algorithm="http://www.w3.org/2000/09/xmldsig#sha1"/>
        <DigestValue>MNTnJljxbha715SJyXMBuYpn0zE=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tEiWteguEsL0P7GU434P69Zd5NE=</DigestValue>
      </Reference>
      <Reference URI="/xl/workbook.xml?ContentType=application/vnd.openxmlformats-officedocument.spreadsheetml.sheet.main+xml">
        <DigestMethod Algorithm="http://www.w3.org/2000/09/xmldsig#sha1"/>
        <DigestValue>lRnLxsZq5Ev4908j+wWLDaDKfXQ=</DigestValue>
      </Reference>
      <Reference URI="/xl/worksheets/sheet1.xml?ContentType=application/vnd.openxmlformats-officedocument.spreadsheetml.worksheet+xml">
        <DigestMethod Algorithm="http://www.w3.org/2000/09/xmldsig#sha1"/>
        <DigestValue>4zeA7E15yOppSwsJKfF6ByErk8I=</DigestValue>
      </Reference>
      <Reference URI="/xl/calcChain.xml?ContentType=application/vnd.openxmlformats-officedocument.spreadsheetml.calcChain+xml">
        <DigestMethod Algorithm="http://www.w3.org/2000/09/xmldsig#sha1"/>
        <DigestValue>CJF4RJJsgRjIP8G7RosWuyPoKDY=</DigestValue>
      </Reference>
      <Reference URI="/xl/styles.xml?ContentType=application/vnd.openxmlformats-officedocument.spreadsheetml.styles+xml">
        <DigestMethod Algorithm="http://www.w3.org/2000/09/xmldsig#sha1"/>
        <DigestValue>m/48FhEzTkS6HycOnnNDpIuHDkk=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UzW+Trpvnu0ANt4SwMlS+wsKH3k=</DigestValue>
      </Reference>
      <Reference URI="/xl/worksheets/sheet18.xml?ContentType=application/vnd.openxmlformats-officedocument.spreadsheetml.worksheet+xml">
        <DigestMethod Algorithm="http://www.w3.org/2000/09/xmldsig#sha1"/>
        <DigestValue>1gvGis3lND8aW42RcIgNrPI0Vgs=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UzW+Trpvnu0ANt4SwMlS+wsKH3k=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dmi8IbXltooCnGAR8B9Lr83WbE8=</DigestValue>
      </Reference>
      <Reference URI="/xl/worksheets/sheet17.xml?ContentType=application/vnd.openxmlformats-officedocument.spreadsheetml.worksheet+xml">
        <DigestMethod Algorithm="http://www.w3.org/2000/09/xmldsig#sha1"/>
        <DigestValue>eEVwvTFtLdQ1m7ile8H7+ys+E84=</DigestValue>
      </Reference>
      <Reference URI="/xl/worksheets/sheet16.xml?ContentType=application/vnd.openxmlformats-officedocument.spreadsheetml.worksheet+xml">
        <DigestMethod Algorithm="http://www.w3.org/2000/09/xmldsig#sha1"/>
        <DigestValue>IEGXyz+lz5AhbzRFu4dKmdWzlS4=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UzW+Trpvnu0ANt4SwMlS+wsKH3k=</DigestValue>
      </Reference>
      <Reference URI="/xl/worksheets/sheet15.xml?ContentType=application/vnd.openxmlformats-officedocument.spreadsheetml.worksheet+xml">
        <DigestMethod Algorithm="http://www.w3.org/2000/09/xmldsig#sha1"/>
        <DigestValue>wsug1m9hycTqJGEOQwSifmmO+D8=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lF87Ityi2LcAswlxU1D6ffEFdcM=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DFdJzDLZ8OTJcoQLID9K1l3GaC8=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wq4CjvcIXrAyAs/vmq7dZAl44ms=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n+0vGARnVcePbMd38IPwNKCZjEA=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90J5z1TBOhifoo6InYYUeFEUQFs=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4OyBNgaQZMCiDe/IHDjNth6hUhA=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ibkiIuzQ2e+YaSZ+kFpdH5M+LcA=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ISYAUfOZUc0STVLt0DMvCgxNweo=</DigestValue>
      </Reference>
    </Manifest>
    <SignatureProperties>
      <SignatureProperty Id="idSignatureTime" Target="#idPackageSignature">
        <mdssi:SignatureTime>
          <mdssi:Format>YYYY-MM-DDThh:mm:ssTZD</mdssi:Format>
          <mdssi:Value>2016-03-24T12:51:04Z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Final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2016-03-24T12:51:04Z</xd:SigningTime>
          <xd:SigningCertificate>
            <xd:Cert>
              <xd:CertDigest>
                <DigestMethod Algorithm="http://www.w3.org/2000/09/xmldsig#sha1"/>
                <DigestValue>bjs8ugPL0WujtPyVqikRI/kzeuI=</DigestValue>
              </xd:CertDigest>
              <xd:IssuerSerial>
                <X509IssuerName>L=Johannesburg, O=CGA, E=cgaswimming@gmail.com, CN=Marion Hughes</X509IssuerName>
                <X509SerialNumber>91777961649721717640181090787802531989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Competitiors</vt:lpstr>
      <vt:lpstr>Results</vt:lpstr>
      <vt:lpstr>U10 U12</vt:lpstr>
      <vt:lpstr>U10 12 scores</vt:lpstr>
      <vt:lpstr>Novice</vt:lpstr>
      <vt:lpstr>Novice Scores</vt:lpstr>
      <vt:lpstr>Sheet3</vt:lpstr>
      <vt:lpstr>13 - 15</vt:lpstr>
      <vt:lpstr>13 -15 Scores</vt:lpstr>
      <vt:lpstr>16 - 18</vt:lpstr>
      <vt:lpstr>16 - 18 Scores</vt:lpstr>
      <vt:lpstr>U10 U12 Solos</vt:lpstr>
      <vt:lpstr>U10 U12 Solo Scores</vt:lpstr>
      <vt:lpstr>13-18 Solos</vt:lpstr>
      <vt:lpstr>13-18 Solo Scores</vt:lpstr>
      <vt:lpstr>Duets</vt:lpstr>
      <vt:lpstr>Duet Scores</vt:lpstr>
      <vt:lpstr>Trio</vt:lpstr>
      <vt:lpstr>Trio Scores</vt:lpstr>
      <vt:lpstr>Sheet1</vt:lpstr>
      <vt:lpstr>'13 - 15'!Print_Area</vt:lpstr>
      <vt:lpstr>'13 -15 Scores'!Print_Area</vt:lpstr>
      <vt:lpstr>'13-18 Solo Scores'!Print_Area</vt:lpstr>
      <vt:lpstr>'13-18 Solos'!Print_Area</vt:lpstr>
      <vt:lpstr>'16 - 18'!Print_Area</vt:lpstr>
      <vt:lpstr>'16 - 18 Scores'!Print_Area</vt:lpstr>
      <vt:lpstr>'Duet Scores'!Print_Area</vt:lpstr>
      <vt:lpstr>Duets!Print_Area</vt:lpstr>
      <vt:lpstr>Novice!Print_Area</vt:lpstr>
      <vt:lpstr>'Novice Scores'!Print_Area</vt:lpstr>
      <vt:lpstr>Results!Print_Area</vt:lpstr>
      <vt:lpstr>Trio!Print_Area</vt:lpstr>
      <vt:lpstr>'Trio Scores'!Print_Area</vt:lpstr>
      <vt:lpstr>'U10 12 scores'!Print_Area</vt:lpstr>
      <vt:lpstr>'U10 U12'!Print_Area</vt:lpstr>
      <vt:lpstr>'U10 U12 Solo Scores'!Print_Area</vt:lpstr>
      <vt:lpstr>'U10 U12 Solos'!Print_Area</vt:lpstr>
      <vt:lpstr>'U10 12 scores'!Print_Titles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Masefield</dc:creator>
  <cp:lastModifiedBy>Marion Hughes</cp:lastModifiedBy>
  <cp:lastPrinted>2016-03-24T12:47:27Z</cp:lastPrinted>
  <dcterms:created xsi:type="dcterms:W3CDTF">2014-10-06T08:44:27Z</dcterms:created>
  <dcterms:modified xsi:type="dcterms:W3CDTF">2016-03-24T12:48:06Z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